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2.xml" ContentType="application/vnd.openxmlformats-officedocument.drawing+xml"/>
  <Override PartName="/xl/ctrlProps/ctrlProp12.xml" ContentType="application/vnd.ms-excel.controlproperties+xml"/>
  <Override PartName="/xl/drawings/drawing3.xml" ContentType="application/vnd.openxmlformats-officedocument.drawing+xml"/>
  <Override PartName="/xl/ctrlProps/ctrlProp13.xml" ContentType="application/vnd.ms-excel.controlproperties+xml"/>
  <Override PartName="/xl/drawings/drawing4.xml" ContentType="application/vnd.openxmlformats-officedocument.drawing+xml"/>
  <Override PartName="/xl/ctrlProps/ctrlProp14.xml" ContentType="application/vnd.ms-excel.controlproperties+xml"/>
  <Override PartName="/xl/drawings/drawing5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6.xml" ContentType="application/vnd.openxmlformats-officedocument.drawing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drawings/drawing7.xml" ContentType="application/vnd.openxmlformats-officedocument.drawing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drawings/drawing8.xml" ContentType="application/vnd.openxmlformats-officedocument.drawing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drawings/drawing9.xml" ContentType="application/vnd.openxmlformats-officedocument.drawing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drawings/drawing10.xml" ContentType="application/vnd.openxmlformats-officedocument.drawing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drawings/drawing11.xml" ContentType="application/vnd.openxmlformats-officedocument.drawing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drawings/drawing12.xml" ContentType="application/vnd.openxmlformats-officedocument.drawing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drawings/drawing13.xml" ContentType="application/vnd.openxmlformats-officedocument.drawing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drawings/drawing14.xml" ContentType="application/vnd.openxmlformats-officedocument.drawing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1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drawings/drawing16.xml" ContentType="application/vnd.openxmlformats-officedocument.drawing+xml"/>
  <Override PartName="/xl/ctrlProps/ctrlProp106.xml" ContentType="application/vnd.ms-excel.controlproperties+xml"/>
  <Override PartName="/xl/drawings/drawing17.xml" ContentType="application/vnd.openxmlformats-officedocument.drawing+xml"/>
  <Override PartName="/xl/ctrlProps/ctrlProp107.xml" ContentType="application/vnd.ms-excel.controlproperties+xml"/>
  <Override PartName="/xl/drawings/drawing18.xml" ContentType="application/vnd.openxmlformats-officedocument.drawing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drawings/drawing19.xml" ContentType="application/vnd.openxmlformats-officedocument.drawing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drawings/drawing20.xml" ContentType="application/vnd.openxmlformats-officedocument.drawing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drawings/drawing21.xml" ContentType="application/vnd.openxmlformats-officedocument.drawing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drawings/drawing22.xml" ContentType="application/vnd.openxmlformats-officedocument.drawing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drawings/drawing23.xml" ContentType="application/vnd.openxmlformats-officedocument.drawing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drawings/drawing24.xml" ContentType="application/vnd.openxmlformats-officedocument.drawing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drawings/drawing25.xml" ContentType="application/vnd.openxmlformats-officedocument.drawing+xml"/>
  <Override PartName="/xl/ctrlProps/ctrlProp152.xml" ContentType="application/vnd.ms-excel.controlproperties+xml"/>
  <Override PartName="/xl/drawings/drawing26.xml" ContentType="application/vnd.openxmlformats-officedocument.drawing+xml"/>
  <Override PartName="/xl/ctrlProps/ctrlProp153.xml" ContentType="application/vnd.ms-excel.controlproperties+xml"/>
  <Override PartName="/xl/drawings/drawing27.xml" ContentType="application/vnd.openxmlformats-officedocument.drawing+xml"/>
  <Override PartName="/xl/ctrlProps/ctrlProp154.xml" ContentType="application/vnd.ms-excel.controlproperties+xml"/>
  <Override PartName="/xl/drawings/drawing28.xml" ContentType="application/vnd.openxmlformats-officedocument.drawing+xml"/>
  <Override PartName="/xl/ctrlProps/ctrlProp155.xml" ContentType="application/vnd.ms-excel.controlproperties+xml"/>
  <Override PartName="/xl/drawings/drawing29.xml" ContentType="application/vnd.openxmlformats-officedocument.drawing+xml"/>
  <Override PartName="/xl/ctrlProps/ctrlProp156.xml" ContentType="application/vnd.ms-excel.controlproperties+xml"/>
  <Override PartName="/xl/drawings/drawing30.xml" ContentType="application/vnd.openxmlformats-officedocument.drawing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ozma.bence\Desktop\"/>
    </mc:Choice>
  </mc:AlternateContent>
  <xr:revisionPtr revIDLastSave="0" documentId="13_ncr:1_{DCA4BC4E-07FF-4373-AE95-E73FE8118F7C}" xr6:coauthVersionLast="36" xr6:coauthVersionMax="47" xr10:uidLastSave="{00000000-0000-0000-0000-000000000000}"/>
  <bookViews>
    <workbookView xWindow="-120" yWindow="-120" windowWidth="29040" windowHeight="15720" tabRatio="830" xr2:uid="{00000000-000D-0000-FFFF-FFFF00000000}"/>
  </bookViews>
  <sheets>
    <sheet name="KEZDŐLAP" sheetId="23" r:id="rId1"/>
    <sheet name="Kedvtelési" sheetId="29" r:id="rId2"/>
    <sheet name="Matróz" sheetId="32" r:id="rId3"/>
    <sheet name="Matróz-gk" sheetId="33" r:id="rId4"/>
    <sheet name="Fed.mester" sheetId="34" r:id="rId5"/>
    <sheet name="Szolg.kgh." sheetId="7" r:id="rId6"/>
    <sheet name="Kgh." sheetId="30" r:id="rId7"/>
    <sheet name="Vit" sheetId="4" r:id="rId8"/>
    <sheet name="UMG" sheetId="10" r:id="rId9"/>
    <sheet name="GNH vez." sheetId="14" r:id="rId10"/>
    <sheet name="Révész" sheetId="15" r:id="rId11"/>
    <sheet name="C" sheetId="17" r:id="rId12"/>
    <sheet name="ADN" sheetId="20" r:id="rId13"/>
    <sheet name="Rádiókezelő" sheetId="22" r:id="rId14"/>
    <sheet name="HÜV" sheetId="24" r:id="rId15"/>
    <sheet name="Gkez." sheetId="26" r:id="rId16"/>
    <sheet name="Géptiszt" sheetId="27" r:id="rId17"/>
    <sheet name="Gépész" sheetId="35" r:id="rId18"/>
    <sheet name="Gyakornok (EU)" sheetId="39" r:id="rId19"/>
    <sheet name="Tanuló matróz (EU)" sheetId="40" r:id="rId20"/>
    <sheet name="Matróz (EU)" sheetId="41" r:id="rId21"/>
    <sheet name="Képesített matróz (EU)" sheetId="42" r:id="rId22"/>
    <sheet name="Kormányos (EU)" sheetId="43" r:id="rId23"/>
    <sheet name="Hajóvezető (EU)" sheetId="47" r:id="rId24"/>
    <sheet name="VV Ausztria" sheetId="36" r:id="rId25"/>
    <sheet name="VV Magyarország" sheetId="49" r:id="rId26"/>
    <sheet name="VV Németország Duna" sheetId="48" r:id="rId27"/>
    <sheet name="VV Rajna" sheetId="50" r:id="rId28"/>
    <sheet name="VV III" sheetId="37" r:id="rId29"/>
    <sheet name="Radar (EU)" sheetId="38" r:id="rId30"/>
    <sheet name="Nagy kötelékek (EU)" sheetId="44" r:id="rId31"/>
    <sheet name="Személyhajózás" sheetId="45" r:id="rId32"/>
    <sheet name="Helyettesíthetőség" sheetId="25" r:id="rId33"/>
  </sheets>
  <definedNames>
    <definedName name="foot_277_place" localSheetId="32">Helyettesíthetőség!#REF!</definedName>
  </definedNames>
  <calcPr calcId="191029"/>
</workbook>
</file>

<file path=xl/calcChain.xml><?xml version="1.0" encoding="utf-8"?>
<calcChain xmlns="http://schemas.openxmlformats.org/spreadsheetml/2006/main">
  <c r="E23" i="43" l="1"/>
  <c r="D23" i="43"/>
  <c r="C23" i="43"/>
  <c r="B23" i="43"/>
  <c r="E22" i="42"/>
  <c r="D22" i="42"/>
  <c r="C22" i="42"/>
  <c r="B22" i="42"/>
  <c r="G23" i="43" l="1"/>
  <c r="G22" i="42"/>
  <c r="K26" i="41"/>
  <c r="B23" i="41"/>
  <c r="L13" i="24"/>
  <c r="P13" i="24" s="1"/>
  <c r="M12" i="24"/>
  <c r="P12" i="24" s="1"/>
  <c r="N10" i="24"/>
  <c r="O9" i="24"/>
  <c r="M10" i="10"/>
  <c r="C18" i="50"/>
  <c r="K10" i="17"/>
  <c r="K6" i="17"/>
  <c r="K2" i="17"/>
  <c r="M8" i="17"/>
  <c r="K5" i="17"/>
  <c r="A14" i="24"/>
  <c r="I23" i="43" l="1"/>
  <c r="I22" i="42"/>
  <c r="D19" i="50"/>
  <c r="C17" i="50"/>
  <c r="P10" i="24"/>
  <c r="N8" i="24"/>
  <c r="P11" i="24"/>
  <c r="M7" i="24"/>
  <c r="I8" i="24"/>
  <c r="J8" i="24"/>
  <c r="K8" i="24"/>
  <c r="I9" i="24"/>
  <c r="J9" i="24"/>
  <c r="K9" i="24"/>
  <c r="I7" i="24"/>
  <c r="J7" i="24"/>
  <c r="K7" i="24"/>
  <c r="H5" i="24"/>
  <c r="P5" i="24" s="1"/>
  <c r="G4" i="24"/>
  <c r="P4" i="24" s="1"/>
  <c r="D18" i="50" l="1"/>
  <c r="F16" i="50" s="1"/>
  <c r="H4" i="50"/>
  <c r="H3" i="50"/>
  <c r="H6" i="50"/>
  <c r="H8" i="50"/>
  <c r="H12" i="50"/>
  <c r="H5" i="50"/>
  <c r="H13" i="50"/>
  <c r="P7" i="24"/>
  <c r="P9" i="24"/>
  <c r="P8" i="24"/>
  <c r="M18" i="49"/>
  <c r="M17" i="49" s="1"/>
  <c r="K18" i="49"/>
  <c r="K17" i="49" s="1"/>
  <c r="I18" i="49"/>
  <c r="I17" i="49" s="1"/>
  <c r="G18" i="49"/>
  <c r="G17" i="49" s="1"/>
  <c r="E18" i="49"/>
  <c r="E17" i="49" s="1"/>
  <c r="O18" i="49"/>
  <c r="O17" i="49" s="1"/>
  <c r="N18" i="49"/>
  <c r="N17" i="49" s="1"/>
  <c r="L18" i="49"/>
  <c r="L17" i="49" s="1"/>
  <c r="J18" i="49"/>
  <c r="J17" i="49" s="1"/>
  <c r="H18" i="49"/>
  <c r="H17" i="49" s="1"/>
  <c r="F18" i="49"/>
  <c r="F17" i="49" s="1"/>
  <c r="D18" i="49"/>
  <c r="D17" i="49" s="1"/>
  <c r="C18" i="49"/>
  <c r="C17" i="49" s="1"/>
  <c r="B18" i="49"/>
  <c r="K13" i="34"/>
  <c r="I17" i="40"/>
  <c r="I17" i="39"/>
  <c r="P19" i="49" l="1"/>
  <c r="T3" i="49" s="1"/>
  <c r="B17" i="49"/>
  <c r="I18" i="48"/>
  <c r="I17" i="48" s="1"/>
  <c r="H18" i="48"/>
  <c r="H17" i="48" s="1"/>
  <c r="G18" i="48"/>
  <c r="G17" i="48" s="1"/>
  <c r="F18" i="48"/>
  <c r="F17" i="48" s="1"/>
  <c r="E18" i="48"/>
  <c r="E17" i="48" s="1"/>
  <c r="D18" i="48"/>
  <c r="D17" i="48" s="1"/>
  <c r="C18" i="48"/>
  <c r="C17" i="48" s="1"/>
  <c r="B18" i="48"/>
  <c r="B17" i="48" s="1"/>
  <c r="M8" i="38"/>
  <c r="H17" i="40"/>
  <c r="H20" i="30"/>
  <c r="K13" i="32"/>
  <c r="K13" i="33"/>
  <c r="B26" i="47"/>
  <c r="C26" i="47"/>
  <c r="D26" i="47"/>
  <c r="E26" i="47"/>
  <c r="F26" i="47"/>
  <c r="G26" i="47"/>
  <c r="H26" i="47"/>
  <c r="J26" i="47"/>
  <c r="D18" i="36"/>
  <c r="C18" i="36"/>
  <c r="B18" i="36"/>
  <c r="B18" i="37"/>
  <c r="C18" i="37"/>
  <c r="D18" i="37"/>
  <c r="B18" i="38"/>
  <c r="C18" i="38"/>
  <c r="D18" i="38"/>
  <c r="H17" i="44"/>
  <c r="B16" i="45"/>
  <c r="C16" i="45"/>
  <c r="D16" i="45"/>
  <c r="K27" i="43"/>
  <c r="K24" i="43"/>
  <c r="K22" i="43"/>
  <c r="K20" i="43"/>
  <c r="K19" i="43"/>
  <c r="K18" i="43"/>
  <c r="K17" i="43"/>
  <c r="K12" i="43"/>
  <c r="K11" i="43"/>
  <c r="K24" i="42"/>
  <c r="K21" i="42"/>
  <c r="K20" i="42"/>
  <c r="K19" i="42"/>
  <c r="K18" i="42"/>
  <c r="K17" i="42"/>
  <c r="K16" i="42"/>
  <c r="K11" i="42"/>
  <c r="K10" i="42"/>
  <c r="K10" i="41"/>
  <c r="K29" i="41"/>
  <c r="K25" i="41"/>
  <c r="R9" i="49" l="1"/>
  <c r="P18" i="49"/>
  <c r="R16" i="49" s="1"/>
  <c r="T8" i="49"/>
  <c r="T12" i="49"/>
  <c r="R3" i="49"/>
  <c r="T13" i="49"/>
  <c r="T5" i="49"/>
  <c r="T6" i="49"/>
  <c r="J19" i="48"/>
  <c r="E23" i="41"/>
  <c r="C23" i="41"/>
  <c r="D23" i="41"/>
  <c r="G23" i="41"/>
  <c r="K19" i="41"/>
  <c r="M13" i="41"/>
  <c r="O11" i="41"/>
  <c r="K18" i="41"/>
  <c r="K17" i="41"/>
  <c r="K16" i="41"/>
  <c r="K11" i="41"/>
  <c r="F20" i="29"/>
  <c r="D20" i="29"/>
  <c r="E20" i="29"/>
  <c r="B20" i="29"/>
  <c r="C20" i="29"/>
  <c r="B21" i="29"/>
  <c r="H17" i="39"/>
  <c r="N14" i="35"/>
  <c r="Q10" i="35"/>
  <c r="M14" i="35"/>
  <c r="M13" i="35" s="1"/>
  <c r="L14" i="35"/>
  <c r="L13" i="35" s="1"/>
  <c r="K14" i="35"/>
  <c r="K13" i="35" s="1"/>
  <c r="J14" i="35"/>
  <c r="J13" i="35" s="1"/>
  <c r="I14" i="35"/>
  <c r="I13" i="35" s="1"/>
  <c r="H14" i="35"/>
  <c r="H13" i="35" s="1"/>
  <c r="G14" i="35"/>
  <c r="G13" i="35" s="1"/>
  <c r="F14" i="35"/>
  <c r="F13" i="35" s="1"/>
  <c r="E14" i="35"/>
  <c r="E13" i="35" s="1"/>
  <c r="D14" i="35"/>
  <c r="D13" i="35" s="1"/>
  <c r="C14" i="35"/>
  <c r="C13" i="35" s="1"/>
  <c r="B14" i="35"/>
  <c r="B13" i="35" s="1"/>
  <c r="N3" i="27"/>
  <c r="N7" i="27"/>
  <c r="C13" i="27"/>
  <c r="D13" i="27"/>
  <c r="E13" i="27"/>
  <c r="F13" i="27"/>
  <c r="B13" i="27"/>
  <c r="G14" i="27"/>
  <c r="F14" i="27"/>
  <c r="E14" i="27"/>
  <c r="D14" i="27"/>
  <c r="C14" i="27"/>
  <c r="B14" i="27"/>
  <c r="N4" i="26"/>
  <c r="N10" i="26"/>
  <c r="N9" i="26"/>
  <c r="C12" i="26"/>
  <c r="D12" i="26"/>
  <c r="E12" i="26"/>
  <c r="F12" i="26"/>
  <c r="G12" i="26"/>
  <c r="H12" i="26"/>
  <c r="I12" i="26"/>
  <c r="J12" i="26"/>
  <c r="B12" i="26"/>
  <c r="N11" i="26"/>
  <c r="K13" i="26"/>
  <c r="J13" i="26"/>
  <c r="I13" i="26"/>
  <c r="H13" i="26"/>
  <c r="G13" i="26"/>
  <c r="C13" i="26"/>
  <c r="D13" i="26"/>
  <c r="E13" i="26"/>
  <c r="F13" i="26"/>
  <c r="B13" i="26"/>
  <c r="J6" i="24"/>
  <c r="K6" i="24"/>
  <c r="L6" i="24"/>
  <c r="I6" i="24"/>
  <c r="C3" i="24"/>
  <c r="D3" i="24"/>
  <c r="E3" i="24"/>
  <c r="F3" i="24"/>
  <c r="B3" i="24"/>
  <c r="D15" i="20"/>
  <c r="C15" i="20"/>
  <c r="B15" i="20"/>
  <c r="C12" i="22"/>
  <c r="B12" i="22"/>
  <c r="D20" i="17"/>
  <c r="D19" i="17" s="1"/>
  <c r="M12" i="10"/>
  <c r="M12" i="14"/>
  <c r="M15" i="17"/>
  <c r="L19" i="29"/>
  <c r="M17" i="17"/>
  <c r="M11" i="17"/>
  <c r="K9" i="17"/>
  <c r="I20" i="17"/>
  <c r="H20" i="17"/>
  <c r="H19" i="17" s="1"/>
  <c r="G20" i="17"/>
  <c r="G19" i="17" s="1"/>
  <c r="F20" i="17"/>
  <c r="F19" i="17" s="1"/>
  <c r="E20" i="17"/>
  <c r="E19" i="17" s="1"/>
  <c r="C20" i="17"/>
  <c r="C19" i="17" s="1"/>
  <c r="B20" i="17"/>
  <c r="B19" i="17" s="1"/>
  <c r="L14" i="29"/>
  <c r="M14" i="14"/>
  <c r="L13" i="7"/>
  <c r="L13" i="30"/>
  <c r="M14" i="4"/>
  <c r="M12" i="4"/>
  <c r="M12" i="15"/>
  <c r="M11" i="15"/>
  <c r="M16" i="15"/>
  <c r="H18" i="15"/>
  <c r="G18" i="15"/>
  <c r="F18" i="15"/>
  <c r="F17" i="15" s="1"/>
  <c r="E18" i="15"/>
  <c r="E17" i="15" s="1"/>
  <c r="D18" i="15"/>
  <c r="D17" i="15" s="1"/>
  <c r="C18" i="15"/>
  <c r="C17" i="15" s="1"/>
  <c r="B18" i="15"/>
  <c r="B17" i="15" s="1"/>
  <c r="M16" i="14"/>
  <c r="I18" i="14"/>
  <c r="H18" i="14"/>
  <c r="H17" i="14" s="1"/>
  <c r="G18" i="14"/>
  <c r="G17" i="14" s="1"/>
  <c r="F18" i="14"/>
  <c r="F17" i="14" s="1"/>
  <c r="E18" i="14"/>
  <c r="E17" i="14" s="1"/>
  <c r="D18" i="14"/>
  <c r="D17" i="14" s="1"/>
  <c r="C18" i="14"/>
  <c r="C17" i="14" s="1"/>
  <c r="B18" i="14"/>
  <c r="B17" i="14" s="1"/>
  <c r="H16" i="10"/>
  <c r="G16" i="10"/>
  <c r="G15" i="10" s="1"/>
  <c r="F16" i="10"/>
  <c r="F15" i="10" s="1"/>
  <c r="E16" i="10"/>
  <c r="E15" i="10" s="1"/>
  <c r="D16" i="10"/>
  <c r="D15" i="10" s="1"/>
  <c r="C16" i="10"/>
  <c r="C15" i="10" s="1"/>
  <c r="B16" i="10"/>
  <c r="B15" i="10" s="1"/>
  <c r="M14" i="10"/>
  <c r="M19" i="4"/>
  <c r="J21" i="4"/>
  <c r="I21" i="4"/>
  <c r="H21" i="4"/>
  <c r="H20" i="4" s="1"/>
  <c r="G21" i="4"/>
  <c r="G20" i="4" s="1"/>
  <c r="F21" i="4"/>
  <c r="F20" i="4" s="1"/>
  <c r="E21" i="4"/>
  <c r="E20" i="4" s="1"/>
  <c r="D21" i="4"/>
  <c r="D20" i="4" s="1"/>
  <c r="C21" i="4"/>
  <c r="C20" i="4" s="1"/>
  <c r="B21" i="4"/>
  <c r="B20" i="4" s="1"/>
  <c r="L18" i="30"/>
  <c r="L18" i="7"/>
  <c r="L16" i="30"/>
  <c r="H19" i="30"/>
  <c r="I20" i="30"/>
  <c r="G20" i="30"/>
  <c r="G19" i="30" s="1"/>
  <c r="F20" i="30"/>
  <c r="F19" i="30" s="1"/>
  <c r="E20" i="30"/>
  <c r="E19" i="30" s="1"/>
  <c r="D20" i="30"/>
  <c r="D19" i="30" s="1"/>
  <c r="C20" i="30"/>
  <c r="C19" i="30" s="1"/>
  <c r="B20" i="30"/>
  <c r="B19" i="30" s="1"/>
  <c r="I21" i="29"/>
  <c r="F21" i="29"/>
  <c r="E21" i="29"/>
  <c r="D21" i="29"/>
  <c r="C21" i="29"/>
  <c r="I20" i="7"/>
  <c r="H20" i="7"/>
  <c r="H19" i="7" s="1"/>
  <c r="G20" i="7"/>
  <c r="G19" i="7" s="1"/>
  <c r="F20" i="7"/>
  <c r="F19" i="7" s="1"/>
  <c r="E20" i="7"/>
  <c r="E19" i="7" s="1"/>
  <c r="D20" i="7"/>
  <c r="D19" i="7" s="1"/>
  <c r="C20" i="7"/>
  <c r="C19" i="7" s="1"/>
  <c r="B20" i="7"/>
  <c r="B19" i="7" s="1"/>
  <c r="B13" i="33"/>
  <c r="L6" i="29"/>
  <c r="L4" i="47"/>
  <c r="L19" i="47"/>
  <c r="L20" i="47"/>
  <c r="P13" i="47"/>
  <c r="L22" i="47"/>
  <c r="N10" i="27"/>
  <c r="L13" i="47"/>
  <c r="L21" i="47"/>
  <c r="L11" i="47"/>
  <c r="L3" i="47"/>
  <c r="Q3" i="35"/>
  <c r="Q9" i="35"/>
  <c r="N9" i="27"/>
  <c r="L2" i="27"/>
  <c r="L2" i="26"/>
  <c r="O2" i="35"/>
  <c r="M9" i="45"/>
  <c r="M14" i="45"/>
  <c r="C15" i="45"/>
  <c r="C17" i="38"/>
  <c r="K20" i="44"/>
  <c r="M8" i="44"/>
  <c r="K2" i="44"/>
  <c r="K9" i="41"/>
  <c r="K21" i="41"/>
  <c r="K23" i="41"/>
  <c r="K22" i="41"/>
  <c r="K20" i="41"/>
  <c r="M4" i="40"/>
  <c r="M4" i="39"/>
  <c r="K3" i="38"/>
  <c r="M17" i="38"/>
  <c r="M16" i="38"/>
  <c r="K9" i="38"/>
  <c r="M16" i="37"/>
  <c r="M8" i="37"/>
  <c r="C17" i="37"/>
  <c r="B17" i="37"/>
  <c r="M3" i="37"/>
  <c r="D17" i="36"/>
  <c r="C17" i="36"/>
  <c r="B17" i="36"/>
  <c r="Q8" i="35"/>
  <c r="K4" i="34"/>
  <c r="M11" i="34"/>
  <c r="K4" i="33"/>
  <c r="M9" i="33"/>
  <c r="M10" i="32"/>
  <c r="M11" i="32"/>
  <c r="K4" i="32"/>
  <c r="M9" i="32"/>
  <c r="M6" i="20"/>
  <c r="M9" i="4"/>
  <c r="K3" i="4"/>
  <c r="J3" i="30"/>
  <c r="O9" i="30"/>
  <c r="N9" i="30"/>
  <c r="M9" i="30"/>
  <c r="L9" i="30"/>
  <c r="O8" i="30"/>
  <c r="N8" i="30"/>
  <c r="M8" i="30"/>
  <c r="J3" i="7"/>
  <c r="L16" i="7"/>
  <c r="L11" i="29"/>
  <c r="L13" i="29"/>
  <c r="I23" i="41" l="1"/>
  <c r="N3" i="48"/>
  <c r="N4" i="48"/>
  <c r="P3" i="24"/>
  <c r="P6" i="24"/>
  <c r="N13" i="48"/>
  <c r="N8" i="48"/>
  <c r="N5" i="48"/>
  <c r="N6" i="48"/>
  <c r="N12" i="48"/>
  <c r="J18" i="48"/>
  <c r="L16" i="48" s="1"/>
  <c r="L4" i="29"/>
  <c r="L5" i="29"/>
  <c r="G27" i="47"/>
  <c r="J32" i="47"/>
  <c r="D17" i="45"/>
  <c r="M3" i="45" s="1"/>
  <c r="B15" i="45"/>
  <c r="K16" i="40"/>
  <c r="K16" i="39"/>
  <c r="D19" i="38"/>
  <c r="B17" i="38"/>
  <c r="D19" i="37"/>
  <c r="E19" i="36"/>
  <c r="O12" i="35"/>
  <c r="J15" i="35"/>
  <c r="H21" i="30"/>
  <c r="J18" i="30"/>
  <c r="E18" i="36" l="1"/>
  <c r="K16" i="36" s="1"/>
  <c r="M3" i="36"/>
  <c r="L3" i="30"/>
  <c r="L8" i="30"/>
  <c r="K14" i="45"/>
  <c r="M12" i="36"/>
  <c r="M13" i="36"/>
  <c r="M6" i="36"/>
  <c r="M8" i="36"/>
  <c r="M5" i="36"/>
  <c r="M3" i="38"/>
  <c r="K16" i="38"/>
  <c r="K16" i="37"/>
  <c r="K9" i="36"/>
  <c r="K3" i="36"/>
  <c r="L10" i="29" l="1"/>
  <c r="G22" i="29" l="1"/>
  <c r="L3" i="29" l="1"/>
  <c r="L1" i="29" s="1"/>
  <c r="L8" i="29"/>
  <c r="J19" i="29"/>
  <c r="L12" i="29" s="1"/>
  <c r="K13" i="20" l="1"/>
  <c r="H21" i="17" l="1"/>
  <c r="M3" i="17" s="1"/>
  <c r="K18" i="17"/>
  <c r="E10" i="22" l="1"/>
  <c r="C13" i="22"/>
  <c r="N8" i="27" l="1"/>
  <c r="L12" i="27" l="1"/>
  <c r="F15" i="27"/>
  <c r="J14" i="26"/>
  <c r="L11" i="26"/>
  <c r="B33" i="25" l="1"/>
  <c r="B32" i="25"/>
  <c r="B31" i="25"/>
  <c r="B30" i="25"/>
  <c r="B29" i="25"/>
  <c r="B28" i="25"/>
  <c r="B24" i="25"/>
  <c r="B23" i="25"/>
  <c r="B22" i="25"/>
  <c r="B21" i="25"/>
  <c r="B20" i="25"/>
  <c r="B19" i="25"/>
  <c r="B18" i="25"/>
  <c r="B17" i="25"/>
  <c r="B16" i="25"/>
  <c r="B2" i="25"/>
  <c r="B3" i="25"/>
  <c r="B4" i="25"/>
  <c r="B5" i="25"/>
  <c r="B6" i="25"/>
  <c r="B7" i="25"/>
  <c r="B15" i="25"/>
  <c r="B8" i="25"/>
  <c r="B9" i="25"/>
  <c r="B10" i="25"/>
  <c r="B11" i="25"/>
  <c r="B12" i="25"/>
  <c r="B13" i="25"/>
  <c r="B14" i="25"/>
  <c r="C14" i="20" l="1"/>
  <c r="B14" i="20"/>
  <c r="B11" i="22" l="1"/>
  <c r="P9" i="17" l="1"/>
  <c r="O9" i="17"/>
  <c r="N9" i="17"/>
  <c r="M9" i="17"/>
  <c r="P8" i="17"/>
  <c r="O8" i="17"/>
  <c r="N8" i="17"/>
  <c r="P9" i="15"/>
  <c r="O9" i="15"/>
  <c r="N9" i="15"/>
  <c r="M9" i="15"/>
  <c r="P8" i="15"/>
  <c r="O8" i="15"/>
  <c r="N8" i="15"/>
  <c r="K3" i="14"/>
  <c r="K16" i="14"/>
  <c r="P9" i="14"/>
  <c r="O9" i="14"/>
  <c r="N9" i="14"/>
  <c r="M9" i="14"/>
  <c r="P8" i="14"/>
  <c r="O8" i="14"/>
  <c r="N8" i="14"/>
  <c r="G19" i="15" l="1"/>
  <c r="K16" i="15"/>
  <c r="I19" i="14"/>
  <c r="M3" i="14" s="1"/>
  <c r="M8" i="14" l="1"/>
  <c r="G17" i="10"/>
  <c r="K14" i="10"/>
  <c r="I22" i="4"/>
  <c r="M3" i="4" s="1"/>
  <c r="K19" i="4"/>
  <c r="J18" i="7"/>
  <c r="H21" i="7"/>
  <c r="L8" i="7" s="1"/>
  <c r="M3" i="10" l="1"/>
  <c r="M7" i="10"/>
  <c r="L3" i="7"/>
  <c r="P8" i="10"/>
  <c r="O8" i="10"/>
  <c r="N8" i="10"/>
  <c r="M8" i="10"/>
  <c r="P7" i="10"/>
  <c r="O7" i="10"/>
  <c r="N7" i="10"/>
  <c r="O9" i="7" l="1"/>
  <c r="N9" i="7"/>
  <c r="M9" i="7"/>
  <c r="L9" i="7"/>
  <c r="O8" i="7"/>
  <c r="N8" i="7"/>
  <c r="M8" i="7"/>
  <c r="I20" i="4"/>
  <c r="P10" i="4"/>
  <c r="O10" i="4"/>
  <c r="N10" i="4"/>
  <c r="M10" i="4"/>
  <c r="P9" i="4"/>
  <c r="O9" i="4"/>
  <c r="N9" i="4"/>
</calcChain>
</file>

<file path=xl/sharedStrings.xml><?xml version="1.0" encoding="utf-8"?>
<sst xmlns="http://schemas.openxmlformats.org/spreadsheetml/2006/main" count="670" uniqueCount="296">
  <si>
    <t>Hivatásos kisgéphajó vezető</t>
  </si>
  <si>
    <t>Szükséges gyakorlati idő</t>
  </si>
  <si>
    <t>Hajóelmélet, a hajók szerkezete és építése, hajógéptan</t>
  </si>
  <si>
    <t>Elsősegély-nyújtási, környezet és tűzvédelmi ismeretek</t>
  </si>
  <si>
    <t>A hajózási képesítésekről szóló rendelet ismerete (d)</t>
  </si>
  <si>
    <t>Gyakorlati vizsga (e)</t>
  </si>
  <si>
    <t>Egyéb vizsgajelentkezési feltételek</t>
  </si>
  <si>
    <t>Érvényes HSZK megléte</t>
  </si>
  <si>
    <t>Érvényes , fedélzeti szolgálatra szóló egészségi alkalmasság igazolása</t>
  </si>
  <si>
    <t>Vizsgadíj befizetésének igazolása</t>
  </si>
  <si>
    <t>2 db színes igazolványkép</t>
  </si>
  <si>
    <t>Írásos vizsgajelentkezési kérelem</t>
  </si>
  <si>
    <t>Vizsgadíj:</t>
  </si>
  <si>
    <t>Vizsgatárgyak:</t>
  </si>
  <si>
    <t>Vitorlázás elmélete</t>
  </si>
  <si>
    <t>Hivatásos vitorlás kishajó vezető</t>
  </si>
  <si>
    <t>Szolgálati célú kisgéphajó vezető</t>
  </si>
  <si>
    <t>Úszómunkagép vezető</t>
  </si>
  <si>
    <t>Fedélzeti szolgálatban eltöltött 9 havi gyakorlat, amelynek legalább a felét úszómunkagépen kell eltölteni</t>
  </si>
  <si>
    <t>Hajózási szabályzat IV.</t>
  </si>
  <si>
    <t>Hajó-vezetéstan IV.</t>
  </si>
  <si>
    <t>Hajózási földrajz, vízrajz, meteorológia I.</t>
  </si>
  <si>
    <t>Hajózási szabályzat III.</t>
  </si>
  <si>
    <t>Hajóvezetéstan III.</t>
  </si>
  <si>
    <t>Hajóvezetéstan IV.</t>
  </si>
  <si>
    <t>Hajóradar ismeretek</t>
  </si>
  <si>
    <t>Gépnélküli hajóvezető</t>
  </si>
  <si>
    <t>Fedélzeti gépek ismerete</t>
  </si>
  <si>
    <t>A hajózási képesítésekről szóló rendelet ismerete</t>
  </si>
  <si>
    <t>Révész</t>
  </si>
  <si>
    <t>Hajózási szabályzat II.</t>
  </si>
  <si>
    <t>Hajó-vezetéstan II.</t>
  </si>
  <si>
    <t>Átkelőhely ismerete</t>
  </si>
  <si>
    <t>Betöltött 18. életév</t>
  </si>
  <si>
    <t>C kategóriájú hajóvezető</t>
  </si>
  <si>
    <t>Hajózási földrajz, vízrajz, meteorológia II.</t>
  </si>
  <si>
    <t>Belvízi hajózási rádiótelefon kezelő képesítés megléte</t>
  </si>
  <si>
    <t>Hajó-vezetéstan V.</t>
  </si>
  <si>
    <t>Hajózási szabályzat V.</t>
  </si>
  <si>
    <t>A vizsgára jelentkező személynek, ha az adott vizsgához előírt fedélzeti gyakorlatnak megfelelő időtartamú gépüzemi szolgálatot tud igazolni, a fedélzeti szolgálati időnek csak felét kell teljesítenie.</t>
  </si>
  <si>
    <t>Veszélyes áru szállítási (ADN) szakértő</t>
  </si>
  <si>
    <t>Egyéb információk</t>
  </si>
  <si>
    <t>Belvízi hajózási rádiótelefon kezelő</t>
  </si>
  <si>
    <t>X</t>
  </si>
  <si>
    <t>1.1. Jogi ismeretek</t>
  </si>
  <si>
    <t>1.2. Kereskedelmi, adózási és számviteli ismeretek</t>
  </si>
  <si>
    <t>1.3. Piacra jutási ismeretek</t>
  </si>
  <si>
    <t>1.4. Hajózási műszaki és üzemviteli ismeretek</t>
  </si>
  <si>
    <t>1.5. Hajózásbiztonsági és környezetvédelmi ismeretek</t>
  </si>
  <si>
    <t>2.1. Belvízi hajózási tevékenység</t>
  </si>
  <si>
    <t>2.2. Tengeri hajózási tevékenység</t>
  </si>
  <si>
    <t>1. Általános vállalkozási ismeretek</t>
  </si>
  <si>
    <t>2. Számviteli és adózási ismeretek</t>
  </si>
  <si>
    <t xml:space="preserve">3. Munkáltatói ismeretek </t>
  </si>
  <si>
    <t>VIZSGADÍJ</t>
  </si>
  <si>
    <t>Nagyhajóval folytatott belföldi hajózási tevékenység</t>
  </si>
  <si>
    <t>Belvízi nemzetközi kiegészítés</t>
  </si>
  <si>
    <t>Tengeri kiegészítés</t>
  </si>
  <si>
    <t>Hajózási üzemeltetési vezető</t>
  </si>
  <si>
    <t>Gyakorlati vizsga</t>
  </si>
  <si>
    <t>Válasszon vizsga típust!</t>
  </si>
  <si>
    <t>Meglévő képesítések, kiválasztása</t>
  </si>
  <si>
    <t>Belvízi vitorlás képesítések:</t>
  </si>
  <si>
    <r>
      <t>Képesítések helyettesíthetőségi szabályai (</t>
    </r>
    <r>
      <rPr>
        <b/>
        <sz val="11"/>
        <color rgb="FFFF0000"/>
        <rFont val="Calibri"/>
        <family val="2"/>
        <charset val="238"/>
        <scheme val="minor"/>
      </rPr>
      <t>megfelelő egészségi alkalmasság igazolása mellett</t>
    </r>
    <r>
      <rPr>
        <b/>
        <sz val="11"/>
        <rFont val="Calibri"/>
        <family val="2"/>
        <charset val="238"/>
        <scheme val="minor"/>
      </rPr>
      <t>)</t>
    </r>
  </si>
  <si>
    <t>A megjelölt képesítéssel a zöld háttérrel kiemelt képesítések helyettesíthetőek, illetve szolgálatok elláthatóak. (A 15/2001. (IV.27.) Kövim rendelet 5.számú melléklete alapján)</t>
  </si>
  <si>
    <t>Gépészeti szolgálatra szóló egészségi alkalmasság igazolása</t>
  </si>
  <si>
    <t>Érvényes HSZK</t>
  </si>
  <si>
    <t>Hajó gépüzemi segédberendezések üzemtana, csőrendszerek</t>
  </si>
  <si>
    <t>Fedélzeti és rakodógépek, kormányrendszerek üzemtana</t>
  </si>
  <si>
    <t>Villamos gépek, elektromos berendezések üzemtana</t>
  </si>
  <si>
    <t>Szakrajzi ismeretek</t>
  </si>
  <si>
    <t>Elsősegélynyújtási, környezet-, tűzvédelmi és biztonságtechnikai ismeretek</t>
  </si>
  <si>
    <t>Hajózási képesítésekről szóló rendelet</t>
  </si>
  <si>
    <t>Hajókazánok elméleti, gyakorlati és üzembiztonsági ismeretei</t>
  </si>
  <si>
    <t>Hajó fő és segédmotorok üzemtana és vezérlése I.</t>
  </si>
  <si>
    <t>Hajók szerkezete és építése I.</t>
  </si>
  <si>
    <t>Meglévő képesítések</t>
  </si>
  <si>
    <t>Gépkezelő</t>
  </si>
  <si>
    <t>Géptiszt</t>
  </si>
  <si>
    <t>Hajó fő és segédmotorok üzemtana és vezérlése II.</t>
  </si>
  <si>
    <t>Hajók szerkezete és építése II.</t>
  </si>
  <si>
    <t>Gépalkatrészek német vagy angol elnevezése</t>
  </si>
  <si>
    <t>Gőzgépek, turbinák és kazánok üzemtana</t>
  </si>
  <si>
    <t>Hajóvillamosságtan, elektronika és automatika</t>
  </si>
  <si>
    <t>Okmánykiállítási díj</t>
  </si>
  <si>
    <t>Okm.</t>
  </si>
  <si>
    <t>Vizsgadíj össz:</t>
  </si>
  <si>
    <t>Jogi ismeretek és képesítési rendelet</t>
  </si>
  <si>
    <t>Vizsgadíj összesen:</t>
  </si>
  <si>
    <t>Vizsgadíj és okmánydíj összesen:</t>
  </si>
  <si>
    <t>Hajózási üzemeltetési ismeretek</t>
  </si>
  <si>
    <t>ADN szabályzat, kereskedelmi és rakodástechnikai ismeretek</t>
  </si>
  <si>
    <r>
      <rPr>
        <b/>
        <sz val="11"/>
        <color theme="1"/>
        <rFont val="Calibri"/>
        <family val="2"/>
        <charset val="238"/>
        <scheme val="minor"/>
      </rPr>
      <t>ALAPVIZSGA:</t>
    </r>
    <r>
      <rPr>
        <sz val="11"/>
        <color theme="1"/>
        <rFont val="Calibri"/>
        <family val="2"/>
        <charset val="238"/>
        <scheme val="minor"/>
      </rPr>
      <t xml:space="preserve"> tarályhajó és/vagy szárazáru szállító hajó</t>
    </r>
  </si>
  <si>
    <r>
      <rPr>
        <b/>
        <sz val="11"/>
        <color theme="1"/>
        <rFont val="Calibri"/>
        <family val="2"/>
        <charset val="238"/>
        <scheme val="minor"/>
      </rPr>
      <t>ISMERET FELÚJÍTÓ VIZSGA:</t>
    </r>
    <r>
      <rPr>
        <sz val="11"/>
        <color theme="1"/>
        <rFont val="Calibri"/>
        <family val="2"/>
        <charset val="238"/>
        <scheme val="minor"/>
      </rPr>
      <t xml:space="preserve"> tartályhajó és/vagy szárazáru szállító hajó</t>
    </r>
  </si>
  <si>
    <t>Nincs előírva</t>
  </si>
  <si>
    <t>Hajózási szabályzat (kedvtelési szint)</t>
  </si>
  <si>
    <t>Hajózási ismeretek – kisgéphajó</t>
  </si>
  <si>
    <t>Hajózási ismeretek – vitorlás kishajó</t>
  </si>
  <si>
    <t>Gyakorlati vizsga - kisgéphajó</t>
  </si>
  <si>
    <t>Gyakorlati vizsga - vitorlás kishajó</t>
  </si>
  <si>
    <t>Megszerezni kívánt képesítések kiválasztása</t>
  </si>
  <si>
    <t>Már meglévő képesítések kiválasztása</t>
  </si>
  <si>
    <t>Belvízi kedvtelési célú kishajó vezető</t>
  </si>
  <si>
    <t>Okmány kiállítási díj:</t>
  </si>
  <si>
    <t>okm.</t>
  </si>
  <si>
    <t>Vizsgadíj és okmány kiállítási díj:</t>
  </si>
  <si>
    <t>Vizsgadíj/felmentési díj összesen:</t>
  </si>
  <si>
    <t>Vizsgadíj/felmentési díj
 és okmánydíj összesen:</t>
  </si>
  <si>
    <t>A díj befizetésének igazolása</t>
  </si>
  <si>
    <t>Nincs előírva gyakorlati idő</t>
  </si>
  <si>
    <t>Díj befizetésének igazolása</t>
  </si>
  <si>
    <t>Érvényes egészségi alkalmasság igazolás</t>
  </si>
  <si>
    <t>Ha a jelölt hajózási gépészeti vagy villamossági szakképzésben, valamint felsőoktatásban szerzett képesítő bizonyítvánnyal, oklevéllel rendelkezik, akkor kérelmére a képesítés megszerzésénél a vizsgaközpont az elméleti vizsga letétele alól részben vagy egészben mentesítést adhat.
Hajózási szakképzésben szerzett képesítő bizonyítványként azt a képesítő okmányt lehet elfogadni, amelyet olyan oktatási intézmény adott ki, amelynek tanterve a hajózási hatóság által jóváhagyott szakmai oktatási programot tartalmazza.</t>
  </si>
  <si>
    <t>Vizsgadíj, felmentési díj és okmánykiállítási díj összesen:</t>
  </si>
  <si>
    <t>az Európai Unió víziútrendszerével összeköttetésben nem lévő vízterületeken magyar lobogó alatt közlekedő hajók fedélzetén</t>
  </si>
  <si>
    <t>Matróz</t>
  </si>
  <si>
    <t>A hajós szolgálati könyvbe történő bejegyzéshez előírt feltételek:</t>
  </si>
  <si>
    <t>Teljesített feltételek</t>
  </si>
  <si>
    <t xml:space="preserve">Képesítés bejegyzésére vonatkozó írásos kérelem </t>
  </si>
  <si>
    <t>Fizetendő díj összesen:</t>
  </si>
  <si>
    <t>Matróz-gépkezelő</t>
  </si>
  <si>
    <t>Képesített matróz képesítés</t>
  </si>
  <si>
    <t>Fedélzetmester</t>
  </si>
  <si>
    <t>A vonalvizsga szakasz megjelölése</t>
  </si>
  <si>
    <t>A Duna osztrák szakaszaira vonatkozó vonalvizsga</t>
  </si>
  <si>
    <t>2074-2081 fkm közötti Duna szakasz (Struden) vonalvizsgája</t>
  </si>
  <si>
    <t>2001-2022 fkm közötti Duna szakasz (Wachau) vonalvizsgája</t>
  </si>
  <si>
    <t>1880-1920 fkm közötti Duna szakasz (Bécsi Duna) vonalvizsgája</t>
  </si>
  <si>
    <t>Vonalszakaszok:</t>
  </si>
  <si>
    <t>Személyazonosság igazolása</t>
  </si>
  <si>
    <t>Vonalvizsga csak teljes szakaszokra tehető le.</t>
  </si>
  <si>
    <t>Érvényes, a bizonyítvány igénylésének napját megelőző 3 hónapon belül kiállított, fedélzeti szolgálatra szóló egészségi alkalmasság igazolása</t>
  </si>
  <si>
    <t>További információk a vizsgával kapcsolatban:</t>
  </si>
  <si>
    <t>Egyéb vizsgajelentkezési, okmányigénylési feltételek</t>
  </si>
  <si>
    <t>VV III; A TENGERI JELLEGŰNEK MINŐSÍTETT BELVÍZI ÚTON TÖRTÉNŐ HAJÓZÁSRA VONATKOZÓ ENGEDÉLY MEGSZERZÉSÉNEK VIZSGAKÖVETELMÉNYEI</t>
  </si>
  <si>
    <t>Tengeri navigációs elméleti ismeretek (tesztvizsga)</t>
  </si>
  <si>
    <t>Tengeri navigációs gyakorlati ismeretek (szóbeli vizsga)</t>
  </si>
  <si>
    <t>Már meglévő képesítések:</t>
  </si>
  <si>
    <t>Radarhajós (EU)</t>
  </si>
  <si>
    <t>Radarhajós elméleti ismeretek</t>
  </si>
  <si>
    <t>Radarhajós gyakorlati ismeretek</t>
  </si>
  <si>
    <t>Gyakornok (EU)</t>
  </si>
  <si>
    <t>Betöltött 16. életév</t>
  </si>
  <si>
    <t>Gyakornoki képesítés bejegyzése a szolgálati könyvbe</t>
  </si>
  <si>
    <t>A biztonsági alapképzés elvégzéséről szóló igazolás</t>
  </si>
  <si>
    <t>HSZK kiállítási díj</t>
  </si>
  <si>
    <t>Képesítés bejegyzési díj</t>
  </si>
  <si>
    <t>NINCS ELŐÍRVA</t>
  </si>
  <si>
    <t>Tanuló matróz (EU)</t>
  </si>
  <si>
    <t>Tanuló matrózi képesítés bejegyzése a szolgálati könyvbe</t>
  </si>
  <si>
    <t>Jóváhagyott képzési program teljesítését előíró tanulószerződés bemutatása.</t>
  </si>
  <si>
    <t>Betöltött 15. életév</t>
  </si>
  <si>
    <t>Matróz (EU)</t>
  </si>
  <si>
    <t>Feltételek:</t>
  </si>
  <si>
    <t>Matrózi képesítés bejegyzése a szolgálati könyvbe</t>
  </si>
  <si>
    <t>Vizsgajelentkezési/képesítés bejegyzési kérelem</t>
  </si>
  <si>
    <t>Képesített matróz (EU)</t>
  </si>
  <si>
    <t>Képesített matróz képesítés bejegyzése a szolgálati könyvbe</t>
  </si>
  <si>
    <t>Kormányos (EU)</t>
  </si>
  <si>
    <t>Kormányos képesítés bejegyzése a szolgálati könyvbe</t>
  </si>
  <si>
    <t>Rádiókezelő bizonyítvány</t>
  </si>
  <si>
    <t>nagy kötelék: olyan tolt kötelék, amely esetében a kötelék teljes hossza és teljes szélessége szorzatának értéke legalább 7000 négyzetméter</t>
  </si>
  <si>
    <t>Különleges engedély nagy kötelékek vezetésére (EU)</t>
  </si>
  <si>
    <t>Okmányigénylés</t>
  </si>
  <si>
    <t>További információk:</t>
  </si>
  <si>
    <t>Egyéb okmányigénylési feltételek</t>
  </si>
  <si>
    <t>A nagy kötelékek vezetésére jogosító hajóvezetői képesítés a kiállítástól számított 5 évig hatályos, melynek lejártát követően a vizsgaközpont kérelemre új képesítő okmányt állít ki.</t>
  </si>
  <si>
    <t>A szükséges hajózási idővel kapcsolatban meghatározott minimumkövetelmények igazoláshoz a hatóság (vizsgaközpont) elfogadja a hajónapló, vagy annak a hajóvezető által hitelesített másolatának benyújtását, vagy a hajós szolgálati könyvben igazolt - nagy köteléken teljesített - szolgálatot. Nem magyar lajstromban nyilvántartott hajó esetében a hatóság ( vizsgaközpont) bekérheti a hajóbizonyítvány másolatát is, amennyiben a vízi jármű műszaki paramétereire vonatkozó információk nem állnak rendelkezésre és hiteles nyilvános adatbázisból nem elérhetőek.</t>
  </si>
  <si>
    <t>Személyhajózási szakember (EU)</t>
  </si>
  <si>
    <t>Személyhajózási elméleti ismeretek</t>
  </si>
  <si>
    <t>Személyhajózási gyakorlati ismeretek</t>
  </si>
  <si>
    <t>Már meglévő képesítések, egyéb körülmények:</t>
  </si>
  <si>
    <t>Legalább 6 havi nagyhajón, vagy személyhajón szerzett hajózási gyakorlat</t>
  </si>
  <si>
    <t>A személyhajózási szakértői képesítő bizonyítvány megújítását kérelmező személy új hatósági vizsgát tesz le a vizsgaközpontnál, vagy új - a hajózási hatóság által - jóváhagyott képzési programot végez el.</t>
  </si>
  <si>
    <t>Gépész</t>
  </si>
  <si>
    <t>Ha a jelölt hajózási gépészeti vagy villamossági szakképzésben, valamint felsőoktatásban szerzett képesítő bizonyítvánnyal, oklevéllel rendelkezik, akkor kérelmére a képesítés megszerzésénél a vizsgaközpont az elméleti vizsga letétele alól részben vagy egészben mentesítést adhat.
Hajózási szakképzésben szerzett képesítő bizonyítványként azt a képesítő okmányt lehet elfogadni, amelyet olyan oktatási intézmény adott ki, amelynek tanterve a hajózási hatóság által jóváhagyott szakmai oktatási programot tartalmazza.
A vizsgaközpont ebben az esetben összeveti a bemutatott képesítés megszerzése során a megszerezni kívánt képesítés vizsgaelemeinek megfeleltethető tantárgyak óraszámát és képzés szintjét és ennek alapján dönt arról, hogy egyes vizsgaelemek vagy a teljes vizsga alól mentesíti a kérelmezőt.</t>
  </si>
  <si>
    <t>A Duna és a Tisza magyar szakaszaira vonatkozó vonalvizsga</t>
  </si>
  <si>
    <t>1708-1660 fkm közötti Duna szakasz tesztvizsga</t>
  </si>
  <si>
    <t>1708-1660 fkm közötti Duna szakasz szóbeli vizsga</t>
  </si>
  <si>
    <t>1660-1640 fkm közötti Duna szakasz tesztvizsga</t>
  </si>
  <si>
    <t>1660-1640 fkm közötti Duna szakasz szóbeli vizsga</t>
  </si>
  <si>
    <t>1640-1578 fkm közötti Duna szakasz tesztvizsga</t>
  </si>
  <si>
    <t>1640-1578 fkm közötti Duna szakasz szóbeli vizsga</t>
  </si>
  <si>
    <t>1578-1479 fkm közötti Duna szakasz tesztvizsga</t>
  </si>
  <si>
    <t>1578-1479 fkm közötti Duna szakasz szóbeli vizsga</t>
  </si>
  <si>
    <t>1479-1433 fkm közötti Duna szakasz tesztvizsga</t>
  </si>
  <si>
    <t>1479-1433 fkm közötti Duna szakasz szóbeli vizsga</t>
  </si>
  <si>
    <t>403-333 fkm közötti Tisza szakasz tesztvizsga</t>
  </si>
  <si>
    <t>333-255 fkm közötti Tiszaa szakasz tesztvizsga</t>
  </si>
  <si>
    <t>Hajóvezető (EU)</t>
  </si>
  <si>
    <t>Rádiókezelő bizonyítvány megléte</t>
  </si>
  <si>
    <t>Hajóvezető képesítés megszerzésének és a bizonyítvány kiállításának feltételei</t>
  </si>
  <si>
    <t>Teljesített feltételek:</t>
  </si>
  <si>
    <t>Elméleti vizsga</t>
  </si>
  <si>
    <t>Kiegészítő modul</t>
  </si>
  <si>
    <t>Hajózási Szabályzat</t>
  </si>
  <si>
    <t>Hajóvezetéstan</t>
  </si>
  <si>
    <t>I. kat. Kompetenciák</t>
  </si>
  <si>
    <t>II. kategóriájú kompetenciák</t>
  </si>
  <si>
    <t>Esettanulmány</t>
  </si>
  <si>
    <t>Az utazás megvalósítása</t>
  </si>
  <si>
    <t>Írásbeli tesztlap</t>
  </si>
  <si>
    <t>Szóbeli</t>
  </si>
  <si>
    <t>Gyakorlat</t>
  </si>
  <si>
    <t>Utazás tervezés</t>
  </si>
  <si>
    <t>OKMÁNYIGÉNYLÉSHEZ: Érvényes, a bizonyítvány igénylésének napját megelőző 3 hónapon belül kiállított, fedélzeti szolgálatra szóló egészségi alkalmasság igazolása</t>
  </si>
  <si>
    <t>továbbá</t>
  </si>
  <si>
    <t>További igazolások:</t>
  </si>
  <si>
    <t>szóbeli</t>
  </si>
  <si>
    <t>gyakorlat</t>
  </si>
  <si>
    <t>A fenti vizsgatárgyak teljesítettnek tekinthetők a Hajózási Hatóság által jóváhagyott képzési programok során vagy a Hajózási Hatóság által elismert szervezetek tanfolyamai keretében megtörtént kompetenciafelmérések eredményéről kiadott igazolások, a vezetett fedélzeti oktatási napló adatai alapján.</t>
  </si>
  <si>
    <t>Vizsgadíj, felmentési díj és okmánybejegyzési díj összesen:</t>
  </si>
  <si>
    <t>Képesítés HSZK-ba való bejegyzésének díja</t>
  </si>
  <si>
    <t>Érvényes HSZK vagy nyilatkozat úszni tudásról</t>
  </si>
  <si>
    <r>
      <t xml:space="preserve">A szakértőnek legalább 18 évesnek kell lennie (8.2.1.1). 
A vizsgázó személyazonosságának igazolására a vizsga megkezdése előtt a jelölt személyi azonosító okmányát be kell mutatnia (8.2.2.7.1.6). 
</t>
    </r>
    <r>
      <rPr>
        <b/>
        <i/>
        <sz val="9"/>
        <color rgb="FFFF0000"/>
        <rFont val="Calibri"/>
        <family val="2"/>
        <charset val="238"/>
        <scheme val="minor"/>
      </rPr>
      <t>Az alapképzést követően a képzés befejezését követő hat hónapon belül vizsgát kell
tenni. Ha a jelölt sikertelen vizsgát tett, ezt a vizsgát a hat hónapos időtartam alatt
kétszer megismételheti újabb alaptanfolyam elvégzése nélkül. (8.2.2.7.1.1) .</t>
    </r>
    <r>
      <rPr>
        <b/>
        <i/>
        <sz val="9"/>
        <color theme="1"/>
        <rFont val="Calibri"/>
        <family val="2"/>
        <charset val="238"/>
        <scheme val="minor"/>
      </rPr>
      <t xml:space="preserve">
Öt év eltelte után az illetékes hatóságnak vagy az általa elismert szervezetnek meg kell újítania a bizonyítványt, </t>
    </r>
    <r>
      <rPr>
        <b/>
        <i/>
        <sz val="9"/>
        <color rgb="FFFF0000"/>
        <rFont val="Calibri"/>
        <family val="2"/>
        <charset val="238"/>
        <scheme val="minor"/>
      </rPr>
      <t>ha a szakértő igazolja, hogy a bizonyítvány érvényességének utolsó évében ismeretfelújító tanfolyamon vett részt (8.2.1.4).</t>
    </r>
    <r>
      <rPr>
        <b/>
        <i/>
        <sz val="9"/>
        <color theme="1"/>
        <rFont val="Calibri"/>
        <family val="2"/>
        <charset val="238"/>
        <scheme val="minor"/>
      </rPr>
      <t xml:space="preserve"> Az ismeretfelújító tanfolyam végén a a tanfolyamszervezőnek tesztvizsgát kell tartani (8.2.2.7.3.1). A tesztvizsgát a Veszélyes Áruk Nemzetközi Belvízi Szállításáról szóló Európai Megállapodáshoz (ADN) csatolt Szabályzat belföldi alkalmazásáról szóló 26/2017. (VII. 5.) NFM rendelet 1. melléklete, 10. pontja alapján, a hajózási hatóság által delegált vizsgabizottság előtt kell megtartani.
</t>
    </r>
    <r>
      <rPr>
        <b/>
        <i/>
        <sz val="9"/>
        <color rgb="FFFF0000"/>
        <rFont val="Calibri"/>
        <family val="2"/>
        <charset val="238"/>
        <scheme val="minor"/>
      </rPr>
      <t>A bizonyítvány érvényességi időtartama alatt két ismétlő vizsga tehető.</t>
    </r>
    <r>
      <rPr>
        <b/>
        <i/>
        <sz val="9"/>
        <color theme="1"/>
        <rFont val="Calibri"/>
        <family val="2"/>
        <charset val="238"/>
        <scheme val="minor"/>
      </rPr>
      <t xml:space="preserve"> Ha a két ismétlő vizsga sikertelen volt, a bizonyítvány érvényességi időtartamán belül az ismeretfelújító tanfolyam megismételhető (8.2.1.4.).
</t>
    </r>
    <r>
      <rPr>
        <b/>
        <i/>
        <sz val="9"/>
        <color rgb="FFFF0000"/>
        <rFont val="Calibri"/>
        <family val="2"/>
        <charset val="238"/>
        <scheme val="minor"/>
      </rPr>
      <t>Az új bizonyítvány érvényességi ideje az előző bizonyítvány lejártával kezdődik. Ha a
vizsgára a bizonyítvány lejártát megelőzően egy évnél korábban került sor, az
érvényesség a tanfolyamon való részvételt igazoló időpontban kezdődik (8.2.2.8.4.).</t>
    </r>
  </si>
  <si>
    <t>(hajózási idő: az olyan napokban kifejezett és a hajózási hatóság által igazolt idő, amelyet a fedélzeti személyzet tagjai a vízi jármű útja során belvízi utakon a fedélzeten töltöttek, ideértve az aktív hajózási műveleteket igénylő kirakodási és berakodási tevékenységeket is)</t>
  </si>
  <si>
    <t>A kizárólag magyar vízterületeken közlekedő úszólétesítmények fedélzetén matróz szolgálat ellátására jogosít.</t>
  </si>
  <si>
    <t>Számítógépes elméleti vizsga díja</t>
  </si>
  <si>
    <t>Papír alapú tesztvizsga díja</t>
  </si>
  <si>
    <t>Szóbeli vizsga díja</t>
  </si>
  <si>
    <t>Írásbeli vizsga díja</t>
  </si>
  <si>
    <t>Esettanulmány vizsga díja</t>
  </si>
  <si>
    <t>Gyakorlati vizsga díja</t>
  </si>
  <si>
    <t>Okmánykiállítás díja</t>
  </si>
  <si>
    <t>Érvényes, fedélzeti szolgálatra szóló egészségi alkalmasság igazolása</t>
  </si>
  <si>
    <t>A vizsgára jelentkező személynek, ha az adott vizsgához előírt fedélzeti gyakorlatnak megfelelő időtartamú gépüzemi szolgálatot tud igazolni, a fedélzeti szolgálati időnek csak felét kell teljesítenie</t>
  </si>
  <si>
    <t>Az úszómunkagép-vezetői képesítés kiterjesztése a megszerezni kívánt képesítéssel vezethető munkagépen teljesített 3 havi gyakorlat igazolása esetén kérelmezhető.</t>
  </si>
  <si>
    <t>Írásos vizsgajelentkezési/felmentési kérelem</t>
  </si>
  <si>
    <t>A vizsgatárgyakat tartalmazó képzésen való részvétel igazolása</t>
  </si>
  <si>
    <t>Vizsga</t>
  </si>
  <si>
    <t>Okmánykiállítási díj:</t>
  </si>
  <si>
    <t>Gépüzemi szolgálatra szóló egészségi alkalmasság igazolása</t>
  </si>
  <si>
    <t>Ha a jelölt hajózási gépészeti vagy villamossági szakképzésben, valamint felsőoktatásban szerzett képesítő bizonyítvánnyal, oklevéllel rendelkezik, akkor kérelmére a képesítés megszerzésénél a vizsgaközpont az elméleti vizsga letétele alól részben vagy egészben mentesítést adhat.</t>
  </si>
  <si>
    <t>Biztonsági kártyaokmány díja</t>
  </si>
  <si>
    <t>Képesítés bejegyzése szolgálati könyvbe</t>
  </si>
  <si>
    <t>Szolgálati könyv kiállítási díja</t>
  </si>
  <si>
    <t>Belvízi hajózási képesítések esetén a vizsgák feltételeként meghatározott gyakorlati időként az indulási és érkezési kikötő között úton lévő hajón szolgálatban töltött – hajós szolgálati könyvben igazolt – időtartamot kell figyelembe venni</t>
  </si>
  <si>
    <t>A tengeri, partmenti vagy halászhajózásban 250 nap gyakorlati idő számítható 12 hónap gyakorlati időnek</t>
  </si>
  <si>
    <t>A hajó karbantartási, telelési és várakozási ideje 60 nap időtartamig szolgálatban töltött időnek számít</t>
  </si>
  <si>
    <t>Belvízi hajózásban 365 egymást követő napon belül legfeljebb 180 nap gyakorlati idő vehető figyelembe</t>
  </si>
  <si>
    <t>Érvényes - UNIÓS okmány igényléséhez a bizonyítvány igénylésének napját megelőző 3 hónapon belül kiállított - fedélzeti szolgálatra szóló egészségi alkalmasság igazolása.</t>
  </si>
  <si>
    <t>A vizsgát megelőző 3 évben megvalósított, legalább 3 hegymeneti és 3 völgymeneti út megtétele a választott szakaszon</t>
  </si>
  <si>
    <t>A Németországi Duna szakaszokra vonatkozó vonalvizsga</t>
  </si>
  <si>
    <t>2249-2259 fkm közötti Duna szakasz</t>
  </si>
  <si>
    <t>2259-2269 fkm közötti Duna szakasz</t>
  </si>
  <si>
    <t>2269-2276 fkm közötti Duna szakasz</t>
  </si>
  <si>
    <t>2276-2284 fkm közötti Duna szakasz</t>
  </si>
  <si>
    <t>2284-2295 fkm közötti Duna szakasz</t>
  </si>
  <si>
    <t>2295-2305 fkm közötti Duna szakasz</t>
  </si>
  <si>
    <t>2305-2314 fkm közötti Duna szakasz</t>
  </si>
  <si>
    <t>2314-2322 fkm közötti Duna szakasz</t>
  </si>
  <si>
    <t>Vonalvizsga bármely választott szakaszra, szakaszokra letehető.</t>
  </si>
  <si>
    <t>A Duna 2249-2322 fkm közötti (Vilshofen-Straubing) szakasza</t>
  </si>
  <si>
    <t>Nemzeti képesítések</t>
  </si>
  <si>
    <t>Nemzetközi képesítések</t>
  </si>
  <si>
    <t>Klikkeljen a kívánt képesítés megnevezésére!</t>
  </si>
  <si>
    <t>RADARHAJÓS (EU); Radar segítségével történő hajóvezetésre jogosító különleges engedély (EU)</t>
  </si>
  <si>
    <t>VV III; Tengeri szakaszokon való hajóvezetésre jogosító különleges engedély (EU)</t>
  </si>
  <si>
    <t>NAGY KÖTELÉKEK vezetésére vonatkozó különleges engedély (EU)</t>
  </si>
  <si>
    <t>Belvízi kedvtelési célú kishajó-vezető</t>
  </si>
  <si>
    <t>Az egyes képesítéseket tartalmazó oldalakról a bal felső sarokra klikkelve (A1 cella) térhet vissza a KEZDŐLAPra</t>
  </si>
  <si>
    <t>A képesítések helyettesíthetőségének szabályai</t>
  </si>
  <si>
    <t>VV II. Ausztria (Duna)</t>
  </si>
  <si>
    <t>VV II. Magyarország (Duna és Tisza)</t>
  </si>
  <si>
    <t>VV II. Németország (Duna)</t>
  </si>
  <si>
    <t>Az okmánykiállításhoz előírt feltételek:</t>
  </si>
  <si>
    <t xml:space="preserve">Írásos kérelem </t>
  </si>
  <si>
    <t>1811-1766 fkm közötti Duna szakasz tesztvizsga</t>
  </si>
  <si>
    <t>1766-1708 fkm közötti Duna szakasz tesztvizsga</t>
  </si>
  <si>
    <t>A rész</t>
  </si>
  <si>
    <t>B rész</t>
  </si>
  <si>
    <t>Kishajóval folytatott belföldi hajózási tevékenységre szóló képesítés megszerzése</t>
  </si>
  <si>
    <t>Komppal folytatott belföldi hajózási tevékenységre szóló képesítés megszerzése</t>
  </si>
  <si>
    <t>Úszómunkagéppel folytatott belföldi hajózási tevékenységre szóló képesítés megszerzése</t>
  </si>
  <si>
    <t>Úszólétesítménnyel  és/vagy úszólétesítményen folytatott belföldi hajózási tevékenységre szóló képesítés megszerzése</t>
  </si>
  <si>
    <t>4. KISHAJÓ hajózási vállalkozási ismeretek</t>
  </si>
  <si>
    <t>4. KOMP hajózási vállalkozási ismeretek</t>
  </si>
  <si>
    <t>4. ÚSZÓMUNKAGÉP hajózási vállalkozási ismeretek</t>
  </si>
  <si>
    <t>4. EGYÉB ÚSZÓLÉTESÍTMÉNY hajózási vállalkozási ismeretek</t>
  </si>
  <si>
    <t>Kérelmezhető vizsga nélkül</t>
  </si>
  <si>
    <t>Nem szükséges A. rész 1. pont 1.4. és 1.5. alpontjában meghatározott hajózási szakmai tárgyakból vizsgát tennie annak a személynek, akinek
a) belvízi nagyhajó vezetésére jogosító képesítése,
b) tengerész fedélzeti tiszti, vagy magasabb képesítése vagy
c) hajózási szakirányú egyetemi, főiskolai végzettsége
van.</t>
  </si>
  <si>
    <r>
      <t xml:space="preserve">Meglévő, kishajóra vagy kompra vagy egyéb úszólétesítményre szóló képesítés </t>
    </r>
    <r>
      <rPr>
        <b/>
        <sz val="11"/>
        <color theme="1"/>
        <rFont val="Calibri"/>
        <family val="2"/>
        <charset val="238"/>
        <scheme val="minor"/>
      </rPr>
      <t>kiegészítése</t>
    </r>
    <r>
      <rPr>
        <sz val="11"/>
        <color theme="1"/>
        <rFont val="Calibri"/>
        <family val="2"/>
        <charset val="238"/>
        <scheme val="minor"/>
      </rPr>
      <t xml:space="preserve"> úszómunkagépre</t>
    </r>
  </si>
  <si>
    <r>
      <t xml:space="preserve">Meglévő, kishajóra vagy úszómunkagépre szóló képesítés </t>
    </r>
    <r>
      <rPr>
        <b/>
        <sz val="11"/>
        <color theme="1"/>
        <rFont val="Calibri"/>
        <family val="2"/>
        <charset val="238"/>
        <scheme val="minor"/>
      </rPr>
      <t>kiegészítése</t>
    </r>
    <r>
      <rPr>
        <sz val="11"/>
        <color theme="1"/>
        <rFont val="Calibri"/>
        <family val="2"/>
        <charset val="238"/>
        <scheme val="minor"/>
      </rPr>
      <t xml:space="preserve"> egyéb úszólétesítményre</t>
    </r>
  </si>
  <si>
    <r>
      <t xml:space="preserve">Meglévő, kishajóra vagy úszómunkagép vagy egyéb úszólétesítményre szóló képesítés </t>
    </r>
    <r>
      <rPr>
        <b/>
        <sz val="11"/>
        <color theme="1"/>
        <rFont val="Calibri"/>
        <family val="2"/>
        <charset val="238"/>
        <scheme val="minor"/>
      </rPr>
      <t>kiegészítése</t>
    </r>
    <r>
      <rPr>
        <sz val="11"/>
        <color theme="1"/>
        <rFont val="Calibri"/>
        <family val="2"/>
        <charset val="238"/>
        <scheme val="minor"/>
      </rPr>
      <t xml:space="preserve"> kompra</t>
    </r>
  </si>
  <si>
    <r>
      <t xml:space="preserve">Meglévő kompra vagy úszómunkagépre vagy egyéb úszólétesítményre szóló képesítés </t>
    </r>
    <r>
      <rPr>
        <b/>
        <sz val="11"/>
        <color theme="1"/>
        <rFont val="Calibri"/>
        <family val="2"/>
        <charset val="238"/>
        <scheme val="minor"/>
      </rPr>
      <t>kiegészítése</t>
    </r>
    <r>
      <rPr>
        <sz val="11"/>
        <color theme="1"/>
        <rFont val="Calibri"/>
        <family val="2"/>
        <charset val="238"/>
        <scheme val="minor"/>
      </rPr>
      <t xml:space="preserve"> kishajóra</t>
    </r>
  </si>
  <si>
    <t xml:space="preserve"> </t>
  </si>
  <si>
    <t>Érvényes HSZK megléte/A képesítés bejegyzéséhez UNIÓS HSZK megléte</t>
  </si>
  <si>
    <t>Érvényes HSZK megléte/A képesítés bejegyzéshez UNIOS HSZK megléte</t>
  </si>
  <si>
    <t>Vonalvizsga legalább 20 fkm hosszú szakaszra tehető le.</t>
  </si>
  <si>
    <t>VV II. Rajna</t>
  </si>
  <si>
    <t>Rajna 335.66-425.00 fkm (Iffezheim - Mannheim)
Rajna 498.45-592.00 fkm (Mainz - Koblenz)</t>
  </si>
  <si>
    <t>Az úszástudás mentési célból történő alkalmazásának demonstrálása gyakorlati kompetenciák</t>
  </si>
  <si>
    <t>A fenti vizsgatárgy teljesítettnek tekinthetők a Hajózási Hatóság által jóváhagyott képzési programok során vagy a Hajózási Hatóság által elismert szervezetek tanfolyamai keretében megtörtént kompetenciafelmérések eredményéről kiadott igazolások, a vezetett fedélzeti oktatási napló adatai alapján.</t>
  </si>
  <si>
    <t>Kompetenciák értékelése menetben lévő hajó fedélzetén</t>
  </si>
  <si>
    <t>Kompetenciák értékelése veszteglő hajó fedélzetén</t>
  </si>
  <si>
    <t>Üzemeltetési szintű elméleti vizsga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</si>
</sst>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Ft&quot;;[Red]\-#,##0\ &quot;Ft&quot;"/>
    <numFmt numFmtId="44" formatCode="_-* #,##0.00\ &quot;Ft&quot;_-;\-* #,##0.00\ &quot;Ft&quot;_-;_-* &quot;-&quot;??\ &quot;Ft&quot;_-;_-@_-"/>
    <numFmt numFmtId="164" formatCode="#,##0\ &quot;Ft&quot;"/>
    <numFmt numFmtId="165" formatCode="_-* #,##0\ &quot;Ft&quot;_-;\-* #,##0\ &quot;Ft&quot;_-;_-* &quot;-&quot;??\ &quot;Ft&quot;_-;_-@_-"/>
  </numFmts>
  <fonts count="3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8"/>
      <color rgb="FFFF0000"/>
      <name val="Calibri"/>
      <family val="2"/>
      <charset val="238"/>
      <scheme val="minor"/>
    </font>
    <font>
      <sz val="8"/>
      <color rgb="FF000000"/>
      <name val="Tahoma"/>
      <family val="2"/>
      <charset val="238"/>
    </font>
    <font>
      <sz val="9"/>
      <color rgb="FF00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2"/>
      <color rgb="FF000000"/>
      <name val="Times"/>
    </font>
    <font>
      <b/>
      <i/>
      <sz val="11"/>
      <color rgb="FFFF0000"/>
      <name val="Calibri"/>
      <family val="2"/>
      <charset val="238"/>
      <scheme val="minor"/>
    </font>
    <font>
      <sz val="20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color rgb="FF0000FF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1"/>
      <color theme="10"/>
      <name val="Calibri"/>
      <family val="2"/>
      <charset val="238"/>
      <scheme val="minor"/>
    </font>
    <font>
      <u/>
      <sz val="33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i/>
      <sz val="9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0"/>
      <color rgb="FF000000"/>
      <name val="Segoe U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8"/>
      <color rgb="FF000000"/>
      <name val="Segoe UI"/>
      <family val="2"/>
      <charset val="238"/>
    </font>
    <font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theme="1"/>
      <name val="Segoe UI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3" fillId="0" borderId="0" applyNumberFormat="0" applyFill="0" applyBorder="0" applyAlignment="0" applyProtection="0"/>
    <xf numFmtId="44" fontId="20" fillId="0" borderId="0" applyFont="0" applyFill="0" applyBorder="0" applyAlignment="0" applyProtection="0"/>
  </cellStyleXfs>
  <cellXfs count="31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 textRotation="90" wrapText="1"/>
    </xf>
    <xf numFmtId="164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0" xfId="0" applyFont="1"/>
    <xf numFmtId="0" fontId="0" fillId="2" borderId="0" xfId="0" applyFill="1"/>
    <xf numFmtId="0" fontId="4" fillId="0" borderId="0" xfId="0" applyFont="1"/>
    <xf numFmtId="164" fontId="5" fillId="0" borderId="0" xfId="0" applyNumberFormat="1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0" borderId="5" xfId="0" applyBorder="1" applyAlignment="1">
      <alignment horizontal="center" textRotation="90" wrapText="1"/>
    </xf>
    <xf numFmtId="0" fontId="7" fillId="0" borderId="1" xfId="0" applyFont="1" applyBorder="1" applyAlignment="1">
      <alignment horizontal="center" vertical="center" textRotation="90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9" fillId="0" borderId="0" xfId="0" applyFont="1"/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/>
    </xf>
    <xf numFmtId="0" fontId="8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3" fillId="2" borderId="0" xfId="1" applyFill="1" applyAlignment="1" applyProtection="1">
      <alignment horizontal="center" vertical="center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/>
      <protection locked="0"/>
    </xf>
    <xf numFmtId="0" fontId="13" fillId="4" borderId="0" xfId="1" applyFill="1" applyAlignment="1" applyProtection="1">
      <alignment horizontal="center" vertical="center" wrapText="1"/>
      <protection locked="0"/>
    </xf>
    <xf numFmtId="0" fontId="0" fillId="0" borderId="0" xfId="0" applyAlignment="1">
      <alignment textRotation="90" wrapText="1"/>
    </xf>
    <xf numFmtId="0" fontId="0" fillId="0" borderId="0" xfId="0" applyAlignment="1">
      <alignment horizontal="left" vertical="center"/>
    </xf>
    <xf numFmtId="0" fontId="0" fillId="0" borderId="12" xfId="0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13" fillId="0" borderId="0" xfId="1" applyAlignment="1" applyProtection="1">
      <alignment horizontal="left" vertical="center"/>
      <protection locked="0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textRotation="90" wrapText="1"/>
    </xf>
    <xf numFmtId="164" fontId="0" fillId="0" borderId="0" xfId="0" applyNumberFormat="1" applyAlignment="1">
      <alignment horizontal="center"/>
    </xf>
    <xf numFmtId="164" fontId="0" fillId="3" borderId="20" xfId="0" applyNumberFormat="1" applyFill="1" applyBorder="1" applyAlignment="1">
      <alignment horizontal="center" vertical="center"/>
    </xf>
    <xf numFmtId="164" fontId="0" fillId="3" borderId="22" xfId="0" applyNumberFormat="1" applyFill="1" applyBorder="1" applyAlignment="1">
      <alignment horizontal="center" vertical="center"/>
    </xf>
    <xf numFmtId="165" fontId="0" fillId="0" borderId="1" xfId="2" applyNumberFormat="1" applyFont="1" applyBorder="1" applyAlignment="1">
      <alignment horizontal="center"/>
    </xf>
    <xf numFmtId="0" fontId="0" fillId="5" borderId="1" xfId="0" applyFill="1" applyBorder="1" applyAlignment="1">
      <alignment horizont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 vertical="center" textRotation="90" wrapText="1"/>
    </xf>
    <xf numFmtId="0" fontId="0" fillId="0" borderId="0" xfId="0" applyAlignment="1">
      <alignment horizontal="center" vertical="center" textRotation="90" wrapText="1"/>
    </xf>
    <xf numFmtId="164" fontId="0" fillId="0" borderId="23" xfId="0" applyNumberFormat="1" applyBorder="1" applyAlignment="1">
      <alignment horizontal="center"/>
    </xf>
    <xf numFmtId="0" fontId="8" fillId="0" borderId="0" xfId="0" applyFont="1"/>
    <xf numFmtId="0" fontId="8" fillId="0" borderId="0" xfId="0" applyFont="1" applyProtection="1">
      <protection locked="0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1" xfId="0" applyBorder="1" applyAlignment="1">
      <alignment horizontal="center" vertical="center" textRotation="90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0" borderId="0" xfId="0" applyAlignment="1" applyProtection="1">
      <alignment vertical="center" wrapText="1"/>
      <protection locked="0"/>
    </xf>
    <xf numFmtId="0" fontId="0" fillId="4" borderId="0" xfId="0" applyFill="1"/>
    <xf numFmtId="0" fontId="0" fillId="4" borderId="0" xfId="0" applyFill="1" applyProtection="1">
      <protection locked="0"/>
    </xf>
    <xf numFmtId="0" fontId="1" fillId="4" borderId="0" xfId="0" applyFont="1" applyFill="1" applyProtection="1">
      <protection locked="0"/>
    </xf>
    <xf numFmtId="0" fontId="1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165" fontId="0" fillId="0" borderId="1" xfId="2" applyNumberFormat="1" applyFont="1" applyBorder="1" applyAlignment="1">
      <alignment horizontal="center" vertical="center"/>
    </xf>
    <xf numFmtId="0" fontId="16" fillId="2" borderId="0" xfId="0" applyFont="1" applyFill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13" fillId="0" borderId="0" xfId="1" applyFill="1" applyAlignment="1" applyProtection="1">
      <alignment horizontal="center" vertical="center"/>
      <protection locked="0"/>
    </xf>
    <xf numFmtId="164" fontId="0" fillId="0" borderId="0" xfId="0" applyNumberFormat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16" fillId="0" borderId="0" xfId="0" applyFont="1" applyAlignment="1">
      <alignment vertical="center" wrapText="1"/>
    </xf>
    <xf numFmtId="164" fontId="16" fillId="0" borderId="1" xfId="0" applyNumberFormat="1" applyFont="1" applyBorder="1" applyAlignment="1">
      <alignment horizontal="center" wrapText="1"/>
    </xf>
    <xf numFmtId="164" fontId="16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164" fontId="23" fillId="0" borderId="1" xfId="0" applyNumberFormat="1" applyFont="1" applyBorder="1" applyAlignment="1">
      <alignment horizontal="center" vertical="center" wrapText="1"/>
    </xf>
    <xf numFmtId="0" fontId="3" fillId="2" borderId="15" xfId="0" applyFont="1" applyFill="1" applyBorder="1" applyAlignment="1">
      <alignment vertical="center" wrapText="1"/>
    </xf>
    <xf numFmtId="164" fontId="24" fillId="0" borderId="1" xfId="0" applyNumberFormat="1" applyFont="1" applyBorder="1" applyAlignment="1">
      <alignment horizontal="center" vertical="center" wrapText="1"/>
    </xf>
    <xf numFmtId="164" fontId="16" fillId="0" borderId="5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164" fontId="28" fillId="0" borderId="1" xfId="0" applyNumberFormat="1" applyFont="1" applyBorder="1" applyAlignment="1">
      <alignment horizontal="center" vertical="center" wrapText="1"/>
    </xf>
    <xf numFmtId="0" fontId="10" fillId="2" borderId="15" xfId="0" applyFont="1" applyFill="1" applyBorder="1" applyAlignment="1">
      <alignment vertical="center" wrapText="1"/>
    </xf>
    <xf numFmtId="0" fontId="4" fillId="2" borderId="0" xfId="0" applyFont="1" applyFill="1"/>
    <xf numFmtId="0" fontId="4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0" fontId="16" fillId="2" borderId="0" xfId="0" applyFont="1" applyFill="1" applyAlignment="1">
      <alignment vertical="center"/>
    </xf>
    <xf numFmtId="0" fontId="16" fillId="2" borderId="31" xfId="0" applyFont="1" applyFill="1" applyBorder="1" applyAlignment="1">
      <alignment vertical="center"/>
    </xf>
    <xf numFmtId="0" fontId="16" fillId="2" borderId="32" xfId="0" applyFont="1" applyFill="1" applyBorder="1" applyAlignment="1">
      <alignment vertical="center"/>
    </xf>
    <xf numFmtId="0" fontId="0" fillId="2" borderId="30" xfId="0" applyFill="1" applyBorder="1"/>
    <xf numFmtId="0" fontId="0" fillId="2" borderId="27" xfId="0" applyFill="1" applyBorder="1"/>
    <xf numFmtId="0" fontId="0" fillId="2" borderId="28" xfId="0" applyFill="1" applyBorder="1"/>
    <xf numFmtId="0" fontId="33" fillId="0" borderId="0" xfId="0" applyFont="1"/>
    <xf numFmtId="0" fontId="33" fillId="0" borderId="0" xfId="0" applyFont="1" applyProtection="1">
      <protection locked="0"/>
    </xf>
    <xf numFmtId="0" fontId="33" fillId="0" borderId="0" xfId="0" applyFont="1" applyAlignment="1">
      <alignment wrapText="1"/>
    </xf>
    <xf numFmtId="0" fontId="33" fillId="0" borderId="0" xfId="0" applyFont="1" applyAlignment="1">
      <alignment horizontal="center"/>
    </xf>
    <xf numFmtId="0" fontId="30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30" fillId="0" borderId="1" xfId="0" applyFont="1" applyBorder="1" applyAlignment="1">
      <alignment horizontal="center" wrapText="1"/>
    </xf>
    <xf numFmtId="0" fontId="1" fillId="2" borderId="0" xfId="0" applyFont="1" applyFill="1"/>
    <xf numFmtId="0" fontId="1" fillId="2" borderId="0" xfId="0" applyFont="1" applyFill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  <xf numFmtId="164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0" fillId="5" borderId="0" xfId="0" applyFont="1" applyFill="1" applyAlignment="1">
      <alignment horizontal="center"/>
    </xf>
    <xf numFmtId="0" fontId="1" fillId="0" borderId="0" xfId="0" applyFont="1" applyAlignment="1" applyProtection="1">
      <alignment vertical="center" wrapText="1"/>
      <protection locked="0"/>
    </xf>
    <xf numFmtId="164" fontId="30" fillId="0" borderId="1" xfId="0" applyNumberFormat="1" applyFont="1" applyBorder="1" applyAlignment="1">
      <alignment horizontal="center" vertical="center"/>
    </xf>
    <xf numFmtId="0" fontId="13" fillId="4" borderId="1" xfId="1" applyFill="1" applyBorder="1" applyAlignment="1" applyProtection="1">
      <alignment horizontal="center" vertical="center"/>
      <protection locked="0"/>
    </xf>
    <xf numFmtId="0" fontId="18" fillId="4" borderId="1" xfId="1" applyFont="1" applyFill="1" applyBorder="1" applyAlignment="1" applyProtection="1">
      <alignment horizontal="center" vertical="center"/>
      <protection locked="0"/>
    </xf>
    <xf numFmtId="0" fontId="18" fillId="4" borderId="1" xfId="1" quotePrefix="1" applyFont="1" applyFill="1" applyBorder="1" applyAlignment="1" applyProtection="1">
      <alignment horizontal="center" vertical="center"/>
      <protection locked="0"/>
    </xf>
    <xf numFmtId="0" fontId="18" fillId="4" borderId="1" xfId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8" fillId="2" borderId="0" xfId="1" applyFont="1" applyFill="1" applyBorder="1" applyAlignment="1" applyProtection="1">
      <alignment horizontal="center" vertical="center"/>
    </xf>
    <xf numFmtId="0" fontId="18" fillId="0" borderId="0" xfId="1" applyFont="1" applyFill="1" applyBorder="1" applyAlignment="1" applyProtection="1">
      <alignment horizontal="center" vertical="center"/>
    </xf>
    <xf numFmtId="0" fontId="18" fillId="2" borderId="0" xfId="1" quotePrefix="1" applyFont="1" applyFill="1" applyBorder="1" applyAlignment="1" applyProtection="1">
      <alignment horizontal="center" vertical="center"/>
    </xf>
    <xf numFmtId="0" fontId="18" fillId="0" borderId="0" xfId="1" quotePrefix="1" applyFont="1" applyFill="1" applyBorder="1" applyAlignment="1" applyProtection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1" applyFill="1" applyBorder="1" applyAlignment="1" applyProtection="1">
      <alignment horizontal="center" vertical="center"/>
    </xf>
    <xf numFmtId="0" fontId="8" fillId="2" borderId="0" xfId="0" applyFont="1" applyFill="1"/>
    <xf numFmtId="0" fontId="35" fillId="0" borderId="1" xfId="0" applyFont="1" applyBorder="1" applyAlignment="1">
      <alignment horizontal="center" wrapText="1"/>
    </xf>
    <xf numFmtId="164" fontId="35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164" fontId="0" fillId="2" borderId="1" xfId="0" applyNumberFormat="1" applyFill="1" applyBorder="1" applyAlignment="1">
      <alignment horizontal="center" vertical="center"/>
    </xf>
    <xf numFmtId="164" fontId="0" fillId="2" borderId="4" xfId="0" applyNumberFormat="1" applyFill="1" applyBorder="1" applyAlignment="1">
      <alignment horizontal="center" vertical="center"/>
    </xf>
    <xf numFmtId="0" fontId="14" fillId="0" borderId="17" xfId="0" applyFont="1" applyBorder="1" applyAlignment="1">
      <alignment horizontal="center" textRotation="90" wrapText="1"/>
    </xf>
    <xf numFmtId="0" fontId="14" fillId="0" borderId="18" xfId="0" applyFont="1" applyBorder="1" applyAlignment="1">
      <alignment horizontal="center" textRotation="90" wrapText="1"/>
    </xf>
    <xf numFmtId="0" fontId="14" fillId="0" borderId="38" xfId="0" applyFont="1" applyBorder="1" applyAlignment="1">
      <alignment horizontal="center" textRotation="90" wrapText="1"/>
    </xf>
    <xf numFmtId="0" fontId="0" fillId="2" borderId="12" xfId="0" applyFill="1" applyBorder="1" applyAlignment="1">
      <alignment horizontal="left" vertical="center" wrapText="1"/>
    </xf>
    <xf numFmtId="0" fontId="0" fillId="2" borderId="13" xfId="0" applyFill="1" applyBorder="1" applyAlignment="1">
      <alignment horizontal="left" vertical="center" wrapText="1"/>
    </xf>
    <xf numFmtId="164" fontId="0" fillId="2" borderId="35" xfId="0" applyNumberFormat="1" applyFill="1" applyBorder="1" applyAlignment="1">
      <alignment horizontal="center" vertical="center"/>
    </xf>
    <xf numFmtId="164" fontId="0" fillId="2" borderId="14" xfId="0" applyNumberFormat="1" applyFill="1" applyBorder="1" applyAlignment="1">
      <alignment horizontal="center" vertical="center"/>
    </xf>
    <xf numFmtId="0" fontId="0" fillId="0" borderId="39" xfId="0" applyBorder="1" applyAlignment="1">
      <alignment horizontal="left" vertical="center" wrapText="1"/>
    </xf>
    <xf numFmtId="164" fontId="0" fillId="0" borderId="38" xfId="0" applyNumberFormat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164" fontId="0" fillId="3" borderId="18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6" fontId="0" fillId="0" borderId="0" xfId="0" applyNumberForma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34" fillId="0" borderId="0" xfId="0" applyFont="1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16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6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2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right"/>
    </xf>
    <xf numFmtId="0" fontId="11" fillId="2" borderId="0" xfId="0" applyFont="1" applyFill="1" applyAlignment="1">
      <alignment horizontal="center" vertical="center" wrapText="1"/>
    </xf>
    <xf numFmtId="0" fontId="21" fillId="2" borderId="0" xfId="0" applyFont="1" applyFill="1" applyAlignment="1">
      <alignment horizontal="justify" vertical="center" wrapText="1"/>
    </xf>
    <xf numFmtId="164" fontId="5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9" fillId="0" borderId="39" xfId="1" applyFont="1" applyBorder="1" applyAlignment="1" applyProtection="1">
      <alignment horizontal="center" vertical="center"/>
      <protection locked="0"/>
    </xf>
    <xf numFmtId="0" fontId="19" fillId="0" borderId="13" xfId="1" applyFont="1" applyBorder="1" applyAlignment="1" applyProtection="1">
      <alignment horizontal="center" vertical="center"/>
      <protection locked="0"/>
    </xf>
    <xf numFmtId="0" fontId="14" fillId="0" borderId="3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0" fillId="3" borderId="40" xfId="0" applyFill="1" applyBorder="1" applyAlignment="1">
      <alignment horizontal="center" vertical="center" textRotation="90" wrapText="1"/>
    </xf>
    <xf numFmtId="0" fontId="0" fillId="3" borderId="37" xfId="0" applyFill="1" applyBorder="1" applyAlignment="1">
      <alignment horizontal="center" vertical="center" textRotation="90" wrapText="1"/>
    </xf>
    <xf numFmtId="0" fontId="14" fillId="0" borderId="36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164" fontId="0" fillId="2" borderId="2" xfId="0" applyNumberFormat="1" applyFill="1" applyBorder="1" applyAlignment="1">
      <alignment horizontal="center" vertical="center"/>
    </xf>
    <xf numFmtId="164" fontId="0" fillId="2" borderId="3" xfId="0" applyNumberFormat="1" applyFill="1" applyBorder="1" applyAlignment="1">
      <alignment horizontal="center" vertical="center"/>
    </xf>
    <xf numFmtId="164" fontId="0" fillId="2" borderId="4" xfId="0" applyNumberForma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vertical="top" wrapText="1"/>
    </xf>
    <xf numFmtId="0" fontId="32" fillId="2" borderId="0" xfId="0" applyFont="1" applyFill="1" applyAlignment="1">
      <alignment horizontal="center"/>
    </xf>
    <xf numFmtId="0" fontId="3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16" fillId="2" borderId="31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32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5" fillId="2" borderId="21" xfId="0" applyFont="1" applyFill="1" applyBorder="1" applyAlignment="1">
      <alignment horizontal="center" vertical="center" wrapText="1"/>
    </xf>
    <xf numFmtId="0" fontId="25" fillId="2" borderId="14" xfId="0" applyFont="1" applyFill="1" applyBorder="1" applyAlignment="1">
      <alignment horizontal="center" vertical="center" wrapText="1"/>
    </xf>
    <xf numFmtId="0" fontId="25" fillId="2" borderId="22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25" fillId="2" borderId="31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0" fontId="25" fillId="2" borderId="32" xfId="0" applyFont="1" applyFill="1" applyBorder="1" applyAlignment="1">
      <alignment horizontal="center" vertical="center" wrapText="1"/>
    </xf>
    <xf numFmtId="164" fontId="27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25" fillId="2" borderId="29" xfId="0" applyFont="1" applyFill="1" applyBorder="1" applyAlignment="1">
      <alignment horizontal="center" vertical="center" wrapText="1"/>
    </xf>
    <xf numFmtId="0" fontId="25" fillId="2" borderId="15" xfId="0" applyFont="1" applyFill="1" applyBorder="1" applyAlignment="1">
      <alignment horizontal="center" vertical="center" wrapText="1"/>
    </xf>
    <xf numFmtId="0" fontId="25" fillId="2" borderId="26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right" vertical="center"/>
    </xf>
    <xf numFmtId="0" fontId="1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0" fillId="0" borderId="25" xfId="0" applyBorder="1" applyAlignment="1">
      <alignment horizontal="center"/>
    </xf>
    <xf numFmtId="0" fontId="0" fillId="2" borderId="0" xfId="0" applyFill="1" applyAlignment="1">
      <alignment horizontal="center" vertical="center"/>
    </xf>
    <xf numFmtId="0" fontId="32" fillId="2" borderId="0" xfId="0" applyFont="1" applyFill="1" applyAlignment="1">
      <alignment horizont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</cellXfs>
  <cellStyles count="3">
    <cellStyle name="Hivatkozás" xfId="1" builtinId="8"/>
    <cellStyle name="Normál" xfId="0" builtinId="0"/>
    <cellStyle name="Pénznem" xfId="2" builtinId="4"/>
  </cellStyles>
  <dxfs count="84">
    <dxf>
      <font>
        <color rgb="FFCCFFCC"/>
      </font>
      <fill>
        <patternFill>
          <bgColor rgb="FFC6EFCE"/>
        </patternFill>
      </fill>
    </dxf>
    <dxf>
      <font>
        <color rgb="FFCCFFCC"/>
      </font>
      <fill>
        <patternFill>
          <bgColor rgb="FFC6EFCE"/>
        </patternFill>
      </fill>
    </dxf>
    <dxf>
      <font>
        <color rgb="FFCCFFCC"/>
      </font>
      <fill>
        <patternFill>
          <bgColor rgb="FFC6EFCE"/>
        </patternFill>
      </fill>
    </dxf>
    <dxf>
      <font>
        <color rgb="FFCCFFCC"/>
      </font>
      <fill>
        <patternFill>
          <bgColor rgb="FFC6EFCE"/>
        </patternFill>
      </fill>
    </dxf>
    <dxf>
      <font>
        <color rgb="FFCCFFCC"/>
      </font>
      <fill>
        <patternFill>
          <bgColor rgb="FFC6EFCE"/>
        </patternFill>
      </fill>
    </dxf>
    <dxf>
      <font>
        <color rgb="FFCCFFCC"/>
      </font>
      <fill>
        <patternFill>
          <bgColor rgb="FFC6EFCE"/>
        </patternFill>
      </fill>
    </dxf>
    <dxf>
      <font>
        <color rgb="FFCCFFCC"/>
      </font>
      <fill>
        <patternFill>
          <bgColor rgb="FFC6EFCE"/>
        </patternFill>
      </fill>
    </dxf>
    <dxf>
      <font>
        <color rgb="FFCCFFCC"/>
      </font>
      <fill>
        <patternFill>
          <bgColor rgb="FFC6EFCE"/>
        </patternFill>
      </fill>
    </dxf>
    <dxf>
      <font>
        <color rgb="FF99FFCC"/>
      </font>
      <fill>
        <patternFill>
          <bgColor rgb="FFC6EFCE"/>
        </patternFill>
      </fill>
    </dxf>
    <dxf>
      <font>
        <color rgb="FFCCFFCC"/>
      </font>
      <fill>
        <patternFill>
          <bgColor rgb="FFC6EFCE"/>
        </patternFill>
      </fill>
    </dxf>
    <dxf>
      <font>
        <color rgb="FFCCFFCC"/>
      </font>
      <fill>
        <patternFill>
          <bgColor rgb="FFC6EFCE"/>
        </patternFill>
      </fill>
    </dxf>
    <dxf>
      <font>
        <color rgb="FFCCFFCC"/>
      </font>
      <fill>
        <patternFill>
          <bgColor rgb="FFC6EFCE"/>
        </patternFill>
      </fill>
    </dxf>
    <dxf>
      <font>
        <color rgb="FFCCFFCC"/>
      </font>
      <fill>
        <patternFill>
          <bgColor rgb="FFC6EFCE"/>
        </patternFill>
      </fill>
    </dxf>
    <dxf>
      <font>
        <color rgb="FFCCFFCC"/>
      </font>
      <fill>
        <patternFill>
          <bgColor rgb="FFC6EFCE"/>
        </patternFill>
      </fill>
    </dxf>
    <dxf>
      <font>
        <color rgb="FFCCFFCC"/>
      </font>
      <fill>
        <patternFill>
          <bgColor rgb="FFC6EFCE"/>
        </patternFill>
      </fill>
    </dxf>
    <dxf>
      <font>
        <color rgb="FFCCFFCC"/>
      </font>
      <fill>
        <patternFill>
          <bgColor rgb="FFC6EFCE"/>
        </patternFill>
      </fill>
    </dxf>
    <dxf>
      <font>
        <color rgb="FFCCFFCC"/>
      </font>
      <fill>
        <patternFill>
          <bgColor rgb="FFC6EFCE"/>
        </patternFill>
      </fill>
    </dxf>
    <dxf>
      <font>
        <color rgb="FFCCFFCC"/>
      </font>
      <fill>
        <patternFill>
          <bgColor rgb="FFC6EFCE"/>
        </patternFill>
      </fill>
    </dxf>
    <dxf>
      <font>
        <color rgb="FFCCFFCC"/>
      </font>
      <fill>
        <patternFill>
          <bgColor rgb="FFC6EFCE"/>
        </patternFill>
      </fill>
    </dxf>
    <dxf>
      <font>
        <color rgb="FFCCFFCC"/>
      </font>
      <fill>
        <patternFill>
          <bgColor rgb="FFC6EFCE"/>
        </patternFill>
      </fill>
    </dxf>
    <dxf>
      <font>
        <color rgb="FFCCFFCC"/>
      </font>
      <fill>
        <patternFill>
          <bgColor rgb="FFC6EFCE"/>
        </patternFill>
      </fill>
    </dxf>
    <dxf>
      <font>
        <color rgb="FFCCFFCC"/>
      </font>
      <fill>
        <patternFill>
          <bgColor rgb="FFC6EFCE"/>
        </patternFill>
      </fill>
    </dxf>
    <dxf>
      <font>
        <color rgb="FFCCFFCC"/>
      </font>
      <fill>
        <patternFill>
          <bgColor rgb="FFC6EFCE"/>
        </patternFill>
      </fill>
    </dxf>
    <dxf>
      <font>
        <color rgb="FFCCFFCC"/>
      </font>
      <fill>
        <patternFill>
          <bgColor rgb="FFC6EFCE"/>
        </patternFill>
      </fill>
    </dxf>
    <dxf>
      <font>
        <color rgb="FFCCFFCC"/>
      </font>
      <fill>
        <patternFill>
          <bgColor rgb="FFC6EFCE"/>
        </patternFill>
      </fill>
    </dxf>
    <dxf>
      <font>
        <color rgb="FFCCFFCC"/>
      </font>
      <fill>
        <patternFill>
          <bgColor rgb="FFC6EFCE"/>
        </patternFill>
      </fill>
    </dxf>
    <dxf>
      <font>
        <color rgb="FFCCFFCC"/>
      </font>
      <fill>
        <patternFill>
          <bgColor rgb="FFC6EFCE"/>
        </patternFill>
      </fill>
    </dxf>
    <dxf>
      <font>
        <color rgb="FFCCFFCC"/>
      </font>
      <fill>
        <patternFill>
          <bgColor rgb="FFC6EFCE"/>
        </patternFill>
      </fill>
    </dxf>
    <dxf>
      <font>
        <color rgb="FFCCFFCC"/>
      </font>
      <fill>
        <patternFill>
          <bgColor rgb="FFC6EFCE"/>
        </patternFill>
      </fill>
    </dxf>
    <dxf>
      <font>
        <color rgb="FFCCFFCC"/>
      </font>
      <fill>
        <patternFill>
          <bgColor rgb="FFC6EFCE"/>
        </patternFill>
      </fill>
    </dxf>
    <dxf>
      <font>
        <color rgb="FFCCFFCC"/>
      </font>
      <fill>
        <patternFill>
          <bgColor rgb="FFC6EFCE"/>
        </patternFill>
      </fill>
    </dxf>
    <dxf>
      <font>
        <color rgb="FFCCFFCC"/>
      </font>
      <fill>
        <patternFill>
          <bgColor rgb="FFC6EFCE"/>
        </patternFill>
      </fill>
    </dxf>
    <dxf>
      <font>
        <color rgb="FFCCFFCC"/>
      </font>
      <fill>
        <patternFill>
          <bgColor rgb="FFC6EFCE"/>
        </patternFill>
      </fill>
    </dxf>
    <dxf>
      <font>
        <color rgb="FF99FFCC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CC"/>
      <color rgb="FF99FFCC"/>
      <color rgb="FF99FF99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trlProps/ctrlProp1.xml><?xml version="1.0" encoding="utf-8"?>
<formControlPr xmlns="http://schemas.microsoft.com/office/spreadsheetml/2009/9/main" objectType="CheckBox" checked="Checked" fmlaLink="$P$3" lockText="1" noThreeD="1"/>
</file>

<file path=xl/ctrlProps/ctrlProp10.xml><?xml version="1.0" encoding="utf-8"?>
<formControlPr xmlns="http://schemas.microsoft.com/office/spreadsheetml/2009/9/main" objectType="CheckBox" fmlaLink="$P$15" lockText="1" noThreeD="1"/>
</file>

<file path=xl/ctrlProps/ctrlProp100.xml><?xml version="1.0" encoding="utf-8"?>
<formControlPr xmlns="http://schemas.microsoft.com/office/spreadsheetml/2009/9/main" objectType="CheckBox" fmlaLink="$R$5" lockText="1" noThreeD="1"/>
</file>

<file path=xl/ctrlProps/ctrlProp101.xml><?xml version="1.0" encoding="utf-8"?>
<formControlPr xmlns="http://schemas.microsoft.com/office/spreadsheetml/2009/9/main" objectType="CheckBox" fmlaLink="$R$6" lockText="1" noThreeD="1"/>
</file>

<file path=xl/ctrlProps/ctrlProp102.xml><?xml version="1.0" encoding="utf-8"?>
<formControlPr xmlns="http://schemas.microsoft.com/office/spreadsheetml/2009/9/main" objectType="CheckBox" fmlaLink="$U$3" lockText="1" noThreeD="1"/>
</file>

<file path=xl/ctrlProps/ctrlProp103.xml><?xml version="1.0" encoding="utf-8"?>
<formControlPr xmlns="http://schemas.microsoft.com/office/spreadsheetml/2009/9/main" objectType="CheckBox" fmlaLink="$U$4" lockText="1" noThreeD="1"/>
</file>

<file path=xl/ctrlProps/ctrlProp104.xml><?xml version="1.0" encoding="utf-8"?>
<formControlPr xmlns="http://schemas.microsoft.com/office/spreadsheetml/2009/9/main" objectType="CheckBox" fmlaLink="$U$5" lockText="1" noThreeD="1"/>
</file>

<file path=xl/ctrlProps/ctrlProp105.xml><?xml version="1.0" encoding="utf-8"?>
<formControlPr xmlns="http://schemas.microsoft.com/office/spreadsheetml/2009/9/main" objectType="CheckBox" fmlaLink="$U$6" lockText="1" noThreeD="1"/>
</file>

<file path=xl/ctrlProps/ctrlProp106.xml><?xml version="1.0" encoding="utf-8"?>
<formControlPr xmlns="http://schemas.microsoft.com/office/spreadsheetml/2009/9/main" objectType="CheckBox" fmlaLink="$Q$4" lockText="1" noThreeD="1"/>
</file>

<file path=xl/ctrlProps/ctrlProp107.xml><?xml version="1.0" encoding="utf-8"?>
<formControlPr xmlns="http://schemas.microsoft.com/office/spreadsheetml/2009/9/main" objectType="CheckBox" fmlaLink="$Q$4" lockText="1" noThreeD="1"/>
</file>

<file path=xl/ctrlProps/ctrlProp108.xml><?xml version="1.0" encoding="utf-8"?>
<formControlPr xmlns="http://schemas.microsoft.com/office/spreadsheetml/2009/9/main" objectType="CheckBox" fmlaLink="$Q$5" lockText="1" noThreeD="1"/>
</file>

<file path=xl/ctrlProps/ctrlProp109.xml><?xml version="1.0" encoding="utf-8"?>
<formControlPr xmlns="http://schemas.microsoft.com/office/spreadsheetml/2009/9/main" objectType="CheckBox" fmlaLink="$Q$6" lockText="1" noThreeD="1"/>
</file>

<file path=xl/ctrlProps/ctrlProp11.xml><?xml version="1.0" encoding="utf-8"?>
<formControlPr xmlns="http://schemas.microsoft.com/office/spreadsheetml/2009/9/main" objectType="CheckBox" fmlaLink="P16" lockText="1" noThreeD="1"/>
</file>

<file path=xl/ctrlProps/ctrlProp110.xml><?xml version="1.0" encoding="utf-8"?>
<formControlPr xmlns="http://schemas.microsoft.com/office/spreadsheetml/2009/9/main" objectType="CheckBox" fmlaLink="$Q$7" lockText="1" noThreeD="1"/>
</file>

<file path=xl/ctrlProps/ctrlProp111.xml><?xml version="1.0" encoding="utf-8"?>
<formControlPr xmlns="http://schemas.microsoft.com/office/spreadsheetml/2009/9/main" objectType="CheckBox" fmlaLink="$Q$10" lockText="1" noThreeD="1"/>
</file>

<file path=xl/ctrlProps/ctrlProp112.xml><?xml version="1.0" encoding="utf-8"?>
<formControlPr xmlns="http://schemas.microsoft.com/office/spreadsheetml/2009/9/main" objectType="CheckBox" fmlaLink="$Q$11" lockText="1" noThreeD="1"/>
</file>

<file path=xl/ctrlProps/ctrlProp113.xml><?xml version="1.0" encoding="utf-8"?>
<formControlPr xmlns="http://schemas.microsoft.com/office/spreadsheetml/2009/9/main" objectType="CheckBox" fmlaLink="$Q$13" lockText="1" noThreeD="1"/>
</file>

<file path=xl/ctrlProps/ctrlProp114.xml><?xml version="1.0" encoding="utf-8"?>
<formControlPr xmlns="http://schemas.microsoft.com/office/spreadsheetml/2009/9/main" objectType="CheckBox" fmlaLink="$Q$5" lockText="1" noThreeD="1"/>
</file>

<file path=xl/ctrlProps/ctrlProp115.xml><?xml version="1.0" encoding="utf-8"?>
<formControlPr xmlns="http://schemas.microsoft.com/office/spreadsheetml/2009/9/main" objectType="CheckBox" fmlaLink="$Q$6" lockText="1" noThreeD="1"/>
</file>

<file path=xl/ctrlProps/ctrlProp116.xml><?xml version="1.0" encoding="utf-8"?>
<formControlPr xmlns="http://schemas.microsoft.com/office/spreadsheetml/2009/9/main" objectType="CheckBox" fmlaLink="$Q$13" lockText="1" noThreeD="1"/>
</file>

<file path=xl/ctrlProps/ctrlProp117.xml><?xml version="1.0" encoding="utf-8"?>
<formControlPr xmlns="http://schemas.microsoft.com/office/spreadsheetml/2009/9/main" objectType="CheckBox" fmlaLink="$Q$5" lockText="1" noThreeD="1"/>
</file>

<file path=xl/ctrlProps/ctrlProp118.xml><?xml version="1.0" encoding="utf-8"?>
<formControlPr xmlns="http://schemas.microsoft.com/office/spreadsheetml/2009/9/main" objectType="CheckBox" fmlaLink="$Q$6" lockText="1" noThreeD="1"/>
</file>

<file path=xl/ctrlProps/ctrlProp119.xml><?xml version="1.0" encoding="utf-8"?>
<formControlPr xmlns="http://schemas.microsoft.com/office/spreadsheetml/2009/9/main" objectType="CheckBox" fmlaLink="$Q$7" lockText="1" noThreeD="1"/>
</file>

<file path=xl/ctrlProps/ctrlProp12.xml><?xml version="1.0" encoding="utf-8"?>
<formControlPr xmlns="http://schemas.microsoft.com/office/spreadsheetml/2009/9/main" objectType="CheckBox" fmlaLink="$Q$4" lockText="1" noThreeD="1"/>
</file>

<file path=xl/ctrlProps/ctrlProp120.xml><?xml version="1.0" encoding="utf-8"?>
<formControlPr xmlns="http://schemas.microsoft.com/office/spreadsheetml/2009/9/main" objectType="CheckBox" fmlaLink="$Q$13" lockText="1" noThreeD="1"/>
</file>

<file path=xl/ctrlProps/ctrlProp121.xml><?xml version="1.0" encoding="utf-8"?>
<formControlPr xmlns="http://schemas.microsoft.com/office/spreadsheetml/2009/9/main" objectType="CheckBox" fmlaLink="$R$6" lockText="1" noThreeD="1"/>
</file>

<file path=xl/ctrlProps/ctrlProp122.xml><?xml version="1.0" encoding="utf-8"?>
<formControlPr xmlns="http://schemas.microsoft.com/office/spreadsheetml/2009/9/main" objectType="CheckBox" fmlaLink="$R$8" lockText="1" noThreeD="1"/>
</file>

<file path=xl/ctrlProps/ctrlProp123.xml><?xml version="1.0" encoding="utf-8"?>
<formControlPr xmlns="http://schemas.microsoft.com/office/spreadsheetml/2009/9/main" objectType="CheckBox" fmlaLink="$R$9" lockText="1" noThreeD="1"/>
</file>

<file path=xl/ctrlProps/ctrlProp124.xml><?xml version="1.0" encoding="utf-8"?>
<formControlPr xmlns="http://schemas.microsoft.com/office/spreadsheetml/2009/9/main" objectType="CheckBox" fmlaLink="$R$5" lockText="1" noThreeD="1"/>
</file>

<file path=xl/ctrlProps/ctrlProp125.xml><?xml version="1.0" encoding="utf-8"?>
<formControlPr xmlns="http://schemas.microsoft.com/office/spreadsheetml/2009/9/main" objectType="CheckBox" fmlaLink="$R$4" lockText="1" noThreeD="1"/>
</file>

<file path=xl/ctrlProps/ctrlProp126.xml><?xml version="1.0" encoding="utf-8"?>
<formControlPr xmlns="http://schemas.microsoft.com/office/spreadsheetml/2009/9/main" objectType="CheckBox" fmlaLink="$R$7" lockText="1" noThreeD="1"/>
</file>

<file path=xl/ctrlProps/ctrlProp127.xml><?xml version="1.0" encoding="utf-8"?>
<formControlPr xmlns="http://schemas.microsoft.com/office/spreadsheetml/2009/9/main" objectType="Radio" firstButton="1" fmlaLink="$R$14" lockText="1" noThreeD="1"/>
</file>

<file path=xl/ctrlProps/ctrlProp128.xml><?xml version="1.0" encoding="utf-8"?>
<formControlPr xmlns="http://schemas.microsoft.com/office/spreadsheetml/2009/9/main" objectType="Radio" lockText="1" noThreeD="1"/>
</file>

<file path=xl/ctrlProps/ctrlProp129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CheckBox" fmlaLink="$Q$4" lockText="1" noThreeD="1"/>
</file>

<file path=xl/ctrlProps/ctrlProp130.xml><?xml version="1.0" encoding="utf-8"?>
<formControlPr xmlns="http://schemas.microsoft.com/office/spreadsheetml/2009/9/main" objectType="Radio" checked="Checked" lockText="1" noThreeD="1"/>
</file>

<file path=xl/ctrlProps/ctrlProp131.xml><?xml version="1.0" encoding="utf-8"?>
<formControlPr xmlns="http://schemas.microsoft.com/office/spreadsheetml/2009/9/main" objectType="CheckBox" fmlaLink="$R$10" lockText="1" noThreeD="1"/>
</file>

<file path=xl/ctrlProps/ctrlProp132.xml><?xml version="1.0" encoding="utf-8"?>
<formControlPr xmlns="http://schemas.microsoft.com/office/spreadsheetml/2009/9/main" objectType="CheckBox" fmlaLink="$Q$6" lockText="1" noThreeD="1"/>
</file>

<file path=xl/ctrlProps/ctrlProp133.xml><?xml version="1.0" encoding="utf-8"?>
<formControlPr xmlns="http://schemas.microsoft.com/office/spreadsheetml/2009/9/main" objectType="CheckBox" fmlaLink="$Q$5" lockText="1" noThreeD="1"/>
</file>

<file path=xl/ctrlProps/ctrlProp134.xml><?xml version="1.0" encoding="utf-8"?>
<formControlPr xmlns="http://schemas.microsoft.com/office/spreadsheetml/2009/9/main" objectType="CheckBox" fmlaLink="$Q$4" lockText="1" noThreeD="1"/>
</file>

<file path=xl/ctrlProps/ctrlProp135.xml><?xml version="1.0" encoding="utf-8"?>
<formControlPr xmlns="http://schemas.microsoft.com/office/spreadsheetml/2009/9/main" objectType="CheckBox" fmlaLink="$X$6" lockText="1" noThreeD="1"/>
</file>

<file path=xl/ctrlProps/ctrlProp136.xml><?xml version="1.0" encoding="utf-8"?>
<formControlPr xmlns="http://schemas.microsoft.com/office/spreadsheetml/2009/9/main" objectType="CheckBox" fmlaLink="$X$5" lockText="1" noThreeD="1"/>
</file>

<file path=xl/ctrlProps/ctrlProp137.xml><?xml version="1.0" encoding="utf-8"?>
<formControlPr xmlns="http://schemas.microsoft.com/office/spreadsheetml/2009/9/main" objectType="CheckBox" fmlaLink="$X$4" lockText="1" noThreeD="1"/>
</file>

<file path=xl/ctrlProps/ctrlProp138.xml><?xml version="1.0" encoding="utf-8"?>
<formControlPr xmlns="http://schemas.microsoft.com/office/spreadsheetml/2009/9/main" objectType="CheckBox" fmlaLink="$X$7" lockText="1" noThreeD="1"/>
</file>

<file path=xl/ctrlProps/ctrlProp139.xml><?xml version="1.0" encoding="utf-8"?>
<formControlPr xmlns="http://schemas.microsoft.com/office/spreadsheetml/2009/9/main" objectType="CheckBox" fmlaLink="$X$8" lockText="1" noThreeD="1"/>
</file>

<file path=xl/ctrlProps/ctrlProp14.xml><?xml version="1.0" encoding="utf-8"?>
<formControlPr xmlns="http://schemas.microsoft.com/office/spreadsheetml/2009/9/main" objectType="CheckBox" fmlaLink="$Q$4" lockText="1" noThreeD="1"/>
</file>

<file path=xl/ctrlProps/ctrlProp140.xml><?xml version="1.0" encoding="utf-8"?>
<formControlPr xmlns="http://schemas.microsoft.com/office/spreadsheetml/2009/9/main" objectType="CheckBox" fmlaLink="$X$11" lockText="1" noThreeD="1"/>
</file>

<file path=xl/ctrlProps/ctrlProp141.xml><?xml version="1.0" encoding="utf-8"?>
<formControlPr xmlns="http://schemas.microsoft.com/office/spreadsheetml/2009/9/main" objectType="CheckBox" fmlaLink="$X$12" lockText="1" noThreeD="1"/>
</file>

<file path=xl/ctrlProps/ctrlProp142.xml><?xml version="1.0" encoding="utf-8"?>
<formControlPr xmlns="http://schemas.microsoft.com/office/spreadsheetml/2009/9/main" objectType="CheckBox" fmlaLink="$X$2" lockText="1" noThreeD="1"/>
</file>

<file path=xl/ctrlProps/ctrlProp143.xml><?xml version="1.0" encoding="utf-8"?>
<formControlPr xmlns="http://schemas.microsoft.com/office/spreadsheetml/2009/9/main" objectType="CheckBox" fmlaLink="$X$3" lockText="1" noThreeD="1"/>
</file>

<file path=xl/ctrlProps/ctrlProp144.xml><?xml version="1.0" encoding="utf-8"?>
<formControlPr xmlns="http://schemas.microsoft.com/office/spreadsheetml/2009/9/main" objectType="CheckBox" fmlaLink="$R$4" lockText="1" noThreeD="1"/>
</file>

<file path=xl/ctrlProps/ctrlProp145.xml><?xml version="1.0" encoding="utf-8"?>
<formControlPr xmlns="http://schemas.microsoft.com/office/spreadsheetml/2009/9/main" objectType="CheckBox" fmlaLink="$R$5" lockText="1" noThreeD="1"/>
</file>

<file path=xl/ctrlProps/ctrlProp146.xml><?xml version="1.0" encoding="utf-8"?>
<formControlPr xmlns="http://schemas.microsoft.com/office/spreadsheetml/2009/9/main" objectType="CheckBox" fmlaLink="$R$6" lockText="1" noThreeD="1"/>
</file>

<file path=xl/ctrlProps/ctrlProp147.xml><?xml version="1.0" encoding="utf-8"?>
<formControlPr xmlns="http://schemas.microsoft.com/office/spreadsheetml/2009/9/main" objectType="CheckBox" fmlaLink="$R$7" lockText="1" noThreeD="1"/>
</file>

<file path=xl/ctrlProps/ctrlProp148.xml><?xml version="1.0" encoding="utf-8"?>
<formControlPr xmlns="http://schemas.microsoft.com/office/spreadsheetml/2009/9/main" objectType="CheckBox" fmlaLink="$R$8" lockText="1" noThreeD="1"/>
</file>

<file path=xl/ctrlProps/ctrlProp149.xml><?xml version="1.0" encoding="utf-8"?>
<formControlPr xmlns="http://schemas.microsoft.com/office/spreadsheetml/2009/9/main" objectType="CheckBox" fmlaLink="$R$9" lockText="1" noThreeD="1"/>
</file>

<file path=xl/ctrlProps/ctrlProp15.xml><?xml version="1.0" encoding="utf-8"?>
<formControlPr xmlns="http://schemas.microsoft.com/office/spreadsheetml/2009/9/main" objectType="CheckBox" fmlaLink="$P$6" lockText="1" noThreeD="1"/>
</file>

<file path=xl/ctrlProps/ctrlProp150.xml><?xml version="1.0" encoding="utf-8"?>
<formControlPr xmlns="http://schemas.microsoft.com/office/spreadsheetml/2009/9/main" objectType="CheckBox" fmlaLink="$R$10" lockText="1" noThreeD="1"/>
</file>

<file path=xl/ctrlProps/ctrlProp151.xml><?xml version="1.0" encoding="utf-8"?>
<formControlPr xmlns="http://schemas.microsoft.com/office/spreadsheetml/2009/9/main" objectType="CheckBox" fmlaLink="$R$11" lockText="1" noThreeD="1"/>
</file>

<file path=xl/ctrlProps/ctrlProp152.xml><?xml version="1.0" encoding="utf-8"?>
<formControlPr xmlns="http://schemas.microsoft.com/office/spreadsheetml/2009/9/main" objectType="CheckBox" fmlaLink="$L$4" lockText="1" noThreeD="1"/>
</file>

<file path=xl/ctrlProps/ctrlProp153.xml><?xml version="1.0" encoding="utf-8"?>
<formControlPr xmlns="http://schemas.microsoft.com/office/spreadsheetml/2009/9/main" objectType="CheckBox" fmlaLink="$Q$4" lockText="1" noThreeD="1"/>
</file>

<file path=xl/ctrlProps/ctrlProp154.xml><?xml version="1.0" encoding="utf-8"?>
<formControlPr xmlns="http://schemas.microsoft.com/office/spreadsheetml/2009/9/main" objectType="CheckBox" fmlaLink="$Q$4" lockText="1" noThreeD="1"/>
</file>

<file path=xl/ctrlProps/ctrlProp155.xml><?xml version="1.0" encoding="utf-8"?>
<formControlPr xmlns="http://schemas.microsoft.com/office/spreadsheetml/2009/9/main" objectType="CheckBox" fmlaLink="$Q$4" lockText="1" noThreeD="1"/>
</file>

<file path=xl/ctrlProps/ctrlProp156.xml><?xml version="1.0" encoding="utf-8"?>
<formControlPr xmlns="http://schemas.microsoft.com/office/spreadsheetml/2009/9/main" objectType="CheckBox" fmlaLink="$Q$4" lockText="1" noThreeD="1"/>
</file>

<file path=xl/ctrlProps/ctrlProp157.xml><?xml version="1.0" encoding="utf-8"?>
<formControlPr xmlns="http://schemas.microsoft.com/office/spreadsheetml/2009/9/main" objectType="Radio" firstButton="1" fmlaLink="$H$2" lockText="1" noThreeD="1"/>
</file>

<file path=xl/ctrlProps/ctrlProp158.xml><?xml version="1.0" encoding="utf-8"?>
<formControlPr xmlns="http://schemas.microsoft.com/office/spreadsheetml/2009/9/main" objectType="Radio" lockText="1" noThreeD="1"/>
</file>

<file path=xl/ctrlProps/ctrlProp159.xml><?xml version="1.0" encoding="utf-8"?>
<formControlPr xmlns="http://schemas.microsoft.com/office/spreadsheetml/2009/9/main" objectType="Radio" checked="Checked" lockText="1" noThreeD="1"/>
</file>

<file path=xl/ctrlProps/ctrlProp16.xml><?xml version="1.0" encoding="utf-8"?>
<formControlPr xmlns="http://schemas.microsoft.com/office/spreadsheetml/2009/9/main" objectType="CheckBox" fmlaLink="$P$11" lockText="1" noThreeD="1"/>
</file>

<file path=xl/ctrlProps/ctrlProp160.xml><?xml version="1.0" encoding="utf-8"?>
<formControlPr xmlns="http://schemas.microsoft.com/office/spreadsheetml/2009/9/main" objectType="Radio" lockText="1" noThreeD="1"/>
</file>

<file path=xl/ctrlProps/ctrlProp161.xml><?xml version="1.0" encoding="utf-8"?>
<formControlPr xmlns="http://schemas.microsoft.com/office/spreadsheetml/2009/9/main" objectType="Radio" lockText="1" noThreeD="1"/>
</file>

<file path=xl/ctrlProps/ctrlProp162.xml><?xml version="1.0" encoding="utf-8"?>
<formControlPr xmlns="http://schemas.microsoft.com/office/spreadsheetml/2009/9/main" objectType="Radio" lockText="1" noThreeD="1"/>
</file>

<file path=xl/ctrlProps/ctrlProp163.xml><?xml version="1.0" encoding="utf-8"?>
<formControlPr xmlns="http://schemas.microsoft.com/office/spreadsheetml/2009/9/main" objectType="Radio" lockText="1" noThreeD="1"/>
</file>

<file path=xl/ctrlProps/ctrlProp164.xml><?xml version="1.0" encoding="utf-8"?>
<formControlPr xmlns="http://schemas.microsoft.com/office/spreadsheetml/2009/9/main" objectType="Radio" lockText="1" noThreeD="1"/>
</file>

<file path=xl/ctrlProps/ctrlProp165.xml><?xml version="1.0" encoding="utf-8"?>
<formControlPr xmlns="http://schemas.microsoft.com/office/spreadsheetml/2009/9/main" objectType="Radio" lockText="1" noThreeD="1"/>
</file>

<file path=xl/ctrlProps/ctrlProp166.xml><?xml version="1.0" encoding="utf-8"?>
<formControlPr xmlns="http://schemas.microsoft.com/office/spreadsheetml/2009/9/main" objectType="Radio" lockText="1" noThreeD="1"/>
</file>

<file path=xl/ctrlProps/ctrlProp167.xml><?xml version="1.0" encoding="utf-8"?>
<formControlPr xmlns="http://schemas.microsoft.com/office/spreadsheetml/2009/9/main" objectType="Radio" lockText="1" noThreeD="1"/>
</file>

<file path=xl/ctrlProps/ctrlProp168.xml><?xml version="1.0" encoding="utf-8"?>
<formControlPr xmlns="http://schemas.microsoft.com/office/spreadsheetml/2009/9/main" objectType="Radio" lockText="1" noThreeD="1"/>
</file>

<file path=xl/ctrlProps/ctrlProp169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CheckBox" fmlaLink="$P$4" noThreeD="1"/>
</file>

<file path=xl/ctrlProps/ctrlProp170.xml><?xml version="1.0" encoding="utf-8"?>
<formControlPr xmlns="http://schemas.microsoft.com/office/spreadsheetml/2009/9/main" objectType="Radio" lockText="1" noThreeD="1"/>
</file>

<file path=xl/ctrlProps/ctrlProp171.xml><?xml version="1.0" encoding="utf-8"?>
<formControlPr xmlns="http://schemas.microsoft.com/office/spreadsheetml/2009/9/main" objectType="Radio" lockText="1" noThreeD="1"/>
</file>

<file path=xl/ctrlProps/ctrlProp172.xml><?xml version="1.0" encoding="utf-8"?>
<formControlPr xmlns="http://schemas.microsoft.com/office/spreadsheetml/2009/9/main" objectType="Radio" lockText="1" noThreeD="1"/>
</file>

<file path=xl/ctrlProps/ctrlProp173.xml><?xml version="1.0" encoding="utf-8"?>
<formControlPr xmlns="http://schemas.microsoft.com/office/spreadsheetml/2009/9/main" objectType="Radio" lockText="1" noThreeD="1"/>
</file>

<file path=xl/ctrlProps/ctrlProp174.xml><?xml version="1.0" encoding="utf-8"?>
<formControlPr xmlns="http://schemas.microsoft.com/office/spreadsheetml/2009/9/main" objectType="Radio" lockText="1" noThreeD="1"/>
</file>

<file path=xl/ctrlProps/ctrlProp175.xml><?xml version="1.0" encoding="utf-8"?>
<formControlPr xmlns="http://schemas.microsoft.com/office/spreadsheetml/2009/9/main" objectType="Radio" lockText="1" noThreeD="1"/>
</file>

<file path=xl/ctrlProps/ctrlProp176.xml><?xml version="1.0" encoding="utf-8"?>
<formControlPr xmlns="http://schemas.microsoft.com/office/spreadsheetml/2009/9/main" objectType="Radio" lockText="1" noThreeD="1"/>
</file>

<file path=xl/ctrlProps/ctrlProp177.xml><?xml version="1.0" encoding="utf-8"?>
<formControlPr xmlns="http://schemas.microsoft.com/office/spreadsheetml/2009/9/main" objectType="Radio" lockText="1" noThreeD="1"/>
</file>

<file path=xl/ctrlProps/ctrlProp178.xml><?xml version="1.0" encoding="utf-8"?>
<formControlPr xmlns="http://schemas.microsoft.com/office/spreadsheetml/2009/9/main" objectType="Radio" lockText="1" noThreeD="1"/>
</file>

<file path=xl/ctrlProps/ctrlProp179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CheckBox" fmlaLink="$P$16" lockText="1" noThreeD="1"/>
</file>

<file path=xl/ctrlProps/ctrlProp180.xml><?xml version="1.0" encoding="utf-8"?>
<formControlPr xmlns="http://schemas.microsoft.com/office/spreadsheetml/2009/9/main" objectType="Radio" lockText="1" noThreeD="1"/>
</file>

<file path=xl/ctrlProps/ctrlProp181.xml><?xml version="1.0" encoding="utf-8"?>
<formControlPr xmlns="http://schemas.microsoft.com/office/spreadsheetml/2009/9/main" objectType="Radio" lockText="1" noThreeD="1"/>
</file>

<file path=xl/ctrlProps/ctrlProp182.xml><?xml version="1.0" encoding="utf-8"?>
<formControlPr xmlns="http://schemas.microsoft.com/office/spreadsheetml/2009/9/main" objectType="Radio" lockText="1" noThreeD="1"/>
</file>

<file path=xl/ctrlProps/ctrlProp183.xml><?xml version="1.0" encoding="utf-8"?>
<formControlPr xmlns="http://schemas.microsoft.com/office/spreadsheetml/2009/9/main" objectType="Radio" lockText="1" noThreeD="1"/>
</file>

<file path=xl/ctrlProps/ctrlProp184.xml><?xml version="1.0" encoding="utf-8"?>
<formControlPr xmlns="http://schemas.microsoft.com/office/spreadsheetml/2009/9/main" objectType="Radio" lockText="1" noThreeD="1"/>
</file>

<file path=xl/ctrlProps/ctrlProp185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CheckBox" fmlaLink="$P$5" lockText="1" noThreeD="1"/>
</file>

<file path=xl/ctrlProps/ctrlProp2.xml><?xml version="1.0" encoding="utf-8"?>
<formControlPr xmlns="http://schemas.microsoft.com/office/spreadsheetml/2009/9/main" objectType="CheckBox" checked="Checked" fmlaLink="$P$4" lockText="1" noThreeD="1"/>
</file>

<file path=xl/ctrlProps/ctrlProp20.xml><?xml version="1.0" encoding="utf-8"?>
<formControlPr xmlns="http://schemas.microsoft.com/office/spreadsheetml/2009/9/main" objectType="CheckBox" fmlaLink="$P$8" lockText="1" noThreeD="1"/>
</file>

<file path=xl/ctrlProps/ctrlProp21.xml><?xml version="1.0" encoding="utf-8"?>
<formControlPr xmlns="http://schemas.microsoft.com/office/spreadsheetml/2009/9/main" objectType="CheckBox" fmlaLink="$P$9" lockText="1" noThreeD="1"/>
</file>

<file path=xl/ctrlProps/ctrlProp22.xml><?xml version="1.0" encoding="utf-8"?>
<formControlPr xmlns="http://schemas.microsoft.com/office/spreadsheetml/2009/9/main" objectType="CheckBox" fmlaLink="$P$10" lockText="1" noThreeD="1"/>
</file>

<file path=xl/ctrlProps/ctrlProp23.xml><?xml version="1.0" encoding="utf-8"?>
<formControlPr xmlns="http://schemas.microsoft.com/office/spreadsheetml/2009/9/main" objectType="CheckBox" fmlaLink="$P$12" lockText="1" noThreeD="1"/>
</file>

<file path=xl/ctrlProps/ctrlProp24.xml><?xml version="1.0" encoding="utf-8"?>
<formControlPr xmlns="http://schemas.microsoft.com/office/spreadsheetml/2009/9/main" objectType="CheckBox" fmlaLink="$P$7" lockText="1" noThreeD="1"/>
</file>

<file path=xl/ctrlProps/ctrlProp25.xml><?xml version="1.0" encoding="utf-8"?>
<formControlPr xmlns="http://schemas.microsoft.com/office/spreadsheetml/2009/9/main" objectType="CheckBox" fmlaLink="$P$13" lockText="1" noThreeD="1"/>
</file>

<file path=xl/ctrlProps/ctrlProp26.xml><?xml version="1.0" encoding="utf-8"?>
<formControlPr xmlns="http://schemas.microsoft.com/office/spreadsheetml/2009/9/main" objectType="CheckBox" fmlaLink="$P$14" lockText="1" noThreeD="1"/>
</file>

<file path=xl/ctrlProps/ctrlProp27.xml><?xml version="1.0" encoding="utf-8"?>
<formControlPr xmlns="http://schemas.microsoft.com/office/spreadsheetml/2009/9/main" objectType="CheckBox" fmlaLink="$P$6" lockText="1" noThreeD="1"/>
</file>

<file path=xl/ctrlProps/ctrlProp28.xml><?xml version="1.0" encoding="utf-8"?>
<formControlPr xmlns="http://schemas.microsoft.com/office/spreadsheetml/2009/9/main" objectType="CheckBox" fmlaLink="$P$11" lockText="1" noThreeD="1"/>
</file>

<file path=xl/ctrlProps/ctrlProp29.xml><?xml version="1.0" encoding="utf-8"?>
<formControlPr xmlns="http://schemas.microsoft.com/office/spreadsheetml/2009/9/main" objectType="CheckBox" fmlaLink="$P$4" noThreeD="1"/>
</file>

<file path=xl/ctrlProps/ctrlProp3.xml><?xml version="1.0" encoding="utf-8"?>
<formControlPr xmlns="http://schemas.microsoft.com/office/spreadsheetml/2009/9/main" objectType="CheckBox" fmlaLink="$P$8" lockText="1" noThreeD="1"/>
</file>

<file path=xl/ctrlProps/ctrlProp30.xml><?xml version="1.0" encoding="utf-8"?>
<formControlPr xmlns="http://schemas.microsoft.com/office/spreadsheetml/2009/9/main" objectType="CheckBox" fmlaLink="$P$16" lockText="1" noThreeD="1"/>
</file>

<file path=xl/ctrlProps/ctrlProp31.xml><?xml version="1.0" encoding="utf-8"?>
<formControlPr xmlns="http://schemas.microsoft.com/office/spreadsheetml/2009/9/main" objectType="CheckBox" fmlaLink="$P$5" lockText="1" noThreeD="1"/>
</file>

<file path=xl/ctrlProps/ctrlProp32.xml><?xml version="1.0" encoding="utf-8"?>
<formControlPr xmlns="http://schemas.microsoft.com/office/spreadsheetml/2009/9/main" objectType="CheckBox" fmlaLink="$P$8" lockText="1" noThreeD="1"/>
</file>

<file path=xl/ctrlProps/ctrlProp33.xml><?xml version="1.0" encoding="utf-8"?>
<formControlPr xmlns="http://schemas.microsoft.com/office/spreadsheetml/2009/9/main" objectType="CheckBox" fmlaLink="$P$9" lockText="1" noThreeD="1"/>
</file>

<file path=xl/ctrlProps/ctrlProp34.xml><?xml version="1.0" encoding="utf-8"?>
<formControlPr xmlns="http://schemas.microsoft.com/office/spreadsheetml/2009/9/main" objectType="CheckBox" fmlaLink="$P$10" lockText="1" noThreeD="1"/>
</file>

<file path=xl/ctrlProps/ctrlProp35.xml><?xml version="1.0" encoding="utf-8"?>
<formControlPr xmlns="http://schemas.microsoft.com/office/spreadsheetml/2009/9/main" objectType="CheckBox" fmlaLink="$P$12" lockText="1" noThreeD="1"/>
</file>

<file path=xl/ctrlProps/ctrlProp36.xml><?xml version="1.0" encoding="utf-8"?>
<formControlPr xmlns="http://schemas.microsoft.com/office/spreadsheetml/2009/9/main" objectType="CheckBox" fmlaLink="$P$7" lockText="1" noThreeD="1"/>
</file>

<file path=xl/ctrlProps/ctrlProp37.xml><?xml version="1.0" encoding="utf-8"?>
<formControlPr xmlns="http://schemas.microsoft.com/office/spreadsheetml/2009/9/main" objectType="CheckBox" fmlaLink="$P$13" lockText="1" noThreeD="1"/>
</file>

<file path=xl/ctrlProps/ctrlProp38.xml><?xml version="1.0" encoding="utf-8"?>
<formControlPr xmlns="http://schemas.microsoft.com/office/spreadsheetml/2009/9/main" objectType="CheckBox" fmlaLink="$P$14" lockText="1" noThreeD="1"/>
</file>

<file path=xl/ctrlProps/ctrlProp39.xml><?xml version="1.0" encoding="utf-8"?>
<formControlPr xmlns="http://schemas.microsoft.com/office/spreadsheetml/2009/9/main" objectType="CheckBox" fmlaLink="$P$15" lockText="1" noThreeD="1"/>
</file>

<file path=xl/ctrlProps/ctrlProp4.xml><?xml version="1.0" encoding="utf-8"?>
<formControlPr xmlns="http://schemas.microsoft.com/office/spreadsheetml/2009/9/main" objectType="CheckBox" fmlaLink="$P$9" lockText="1" noThreeD="1"/>
</file>

<file path=xl/ctrlProps/ctrlProp40.xml><?xml version="1.0" encoding="utf-8"?>
<formControlPr xmlns="http://schemas.microsoft.com/office/spreadsheetml/2009/9/main" objectType="CheckBox" fmlaLink="$Q$5" lockText="1" noThreeD="1"/>
</file>

<file path=xl/ctrlProps/ctrlProp41.xml><?xml version="1.0" encoding="utf-8"?>
<formControlPr xmlns="http://schemas.microsoft.com/office/spreadsheetml/2009/9/main" objectType="CheckBox" fmlaLink="$Q$9" lockText="1" noThreeD="1"/>
</file>

<file path=xl/ctrlProps/ctrlProp42.xml><?xml version="1.0" encoding="utf-8"?>
<formControlPr xmlns="http://schemas.microsoft.com/office/spreadsheetml/2009/9/main" objectType="CheckBox" fmlaLink="$Q$12" lockText="1" noThreeD="1"/>
</file>

<file path=xl/ctrlProps/ctrlProp43.xml><?xml version="1.0" encoding="utf-8"?>
<formControlPr xmlns="http://schemas.microsoft.com/office/spreadsheetml/2009/9/main" objectType="CheckBox" fmlaLink="$Q$3" lockText="1" noThreeD="1"/>
</file>

<file path=xl/ctrlProps/ctrlProp44.xml><?xml version="1.0" encoding="utf-8"?>
<formControlPr xmlns="http://schemas.microsoft.com/office/spreadsheetml/2009/9/main" objectType="CheckBox" fmlaLink="$Q$13" lockText="1" noThreeD="1"/>
</file>

<file path=xl/ctrlProps/ctrlProp45.xml><?xml version="1.0" encoding="utf-8"?>
<formControlPr xmlns="http://schemas.microsoft.com/office/spreadsheetml/2009/9/main" objectType="CheckBox" fmlaLink="$Q$7" noThreeD="1"/>
</file>

<file path=xl/ctrlProps/ctrlProp46.xml><?xml version="1.0" encoding="utf-8"?>
<formControlPr xmlns="http://schemas.microsoft.com/office/spreadsheetml/2009/9/main" objectType="CheckBox" fmlaLink="$Q$6" lockText="1" noThreeD="1"/>
</file>

<file path=xl/ctrlProps/ctrlProp47.xml><?xml version="1.0" encoding="utf-8"?>
<formControlPr xmlns="http://schemas.microsoft.com/office/spreadsheetml/2009/9/main" objectType="CheckBox" fmlaLink="$Q$4" lockText="1" noThreeD="1"/>
</file>

<file path=xl/ctrlProps/ctrlProp48.xml><?xml version="1.0" encoding="utf-8"?>
<formControlPr xmlns="http://schemas.microsoft.com/office/spreadsheetml/2009/9/main" objectType="CheckBox" fmlaLink="$Q$8" lockText="1" noThreeD="1"/>
</file>

<file path=xl/ctrlProps/ctrlProp49.xml><?xml version="1.0" encoding="utf-8"?>
<formControlPr xmlns="http://schemas.microsoft.com/office/spreadsheetml/2009/9/main" objectType="CheckBox" fmlaLink="$Q$10" lockText="1" noThreeD="1"/>
</file>

<file path=xl/ctrlProps/ctrlProp5.xml><?xml version="1.0" encoding="utf-8"?>
<formControlPr xmlns="http://schemas.microsoft.com/office/spreadsheetml/2009/9/main" objectType="CheckBox" fmlaLink="$P$7" lockText="1" noThreeD="1"/>
</file>

<file path=xl/ctrlProps/ctrlProp50.xml><?xml version="1.0" encoding="utf-8"?>
<formControlPr xmlns="http://schemas.microsoft.com/office/spreadsheetml/2009/9/main" objectType="CheckBox" fmlaLink="$Q$11" lockText="1" noThreeD="1"/>
</file>

<file path=xl/ctrlProps/ctrlProp51.xml><?xml version="1.0" encoding="utf-8"?>
<formControlPr xmlns="http://schemas.microsoft.com/office/spreadsheetml/2009/9/main" objectType="CheckBox" fmlaLink="$Q$14" lockText="1" noThreeD="1"/>
</file>

<file path=xl/ctrlProps/ctrlProp52.xml><?xml version="1.0" encoding="utf-8"?>
<formControlPr xmlns="http://schemas.microsoft.com/office/spreadsheetml/2009/9/main" objectType="CheckBox" fmlaLink="$Q$15" lockText="1" noThreeD="1"/>
</file>

<file path=xl/ctrlProps/ctrlProp53.xml><?xml version="1.0" encoding="utf-8"?>
<formControlPr xmlns="http://schemas.microsoft.com/office/spreadsheetml/2009/9/main" objectType="CheckBox" fmlaLink="$Q$16" lockText="1" noThreeD="1"/>
</file>

<file path=xl/ctrlProps/ctrlProp54.xml><?xml version="1.0" encoding="utf-8"?>
<formControlPr xmlns="http://schemas.microsoft.com/office/spreadsheetml/2009/9/main" objectType="CheckBox" fmlaLink="$Q$6" lockText="1" noThreeD="1"/>
</file>

<file path=xl/ctrlProps/ctrlProp55.xml><?xml version="1.0" encoding="utf-8"?>
<formControlPr xmlns="http://schemas.microsoft.com/office/spreadsheetml/2009/9/main" objectType="CheckBox" fmlaLink="$Q$8" lockText="1" noThreeD="1"/>
</file>

<file path=xl/ctrlProps/ctrlProp56.xml><?xml version="1.0" encoding="utf-8"?>
<formControlPr xmlns="http://schemas.microsoft.com/office/spreadsheetml/2009/9/main" objectType="CheckBox" fmlaLink="$Q$10" lockText="1" noThreeD="1"/>
</file>

<file path=xl/ctrlProps/ctrlProp57.xml><?xml version="1.0" encoding="utf-8"?>
<formControlPr xmlns="http://schemas.microsoft.com/office/spreadsheetml/2009/9/main" objectType="CheckBox" checked="Checked" fmlaLink="$Q$4" lockText="1" noThreeD="1"/>
</file>

<file path=xl/ctrlProps/ctrlProp58.xml><?xml version="1.0" encoding="utf-8"?>
<formControlPr xmlns="http://schemas.microsoft.com/office/spreadsheetml/2009/9/main" objectType="CheckBox" fmlaLink="$Q$12" lockText="1" noThreeD="1"/>
</file>

<file path=xl/ctrlProps/ctrlProp59.xml><?xml version="1.0" encoding="utf-8"?>
<formControlPr xmlns="http://schemas.microsoft.com/office/spreadsheetml/2009/9/main" objectType="CheckBox" fmlaLink="$Q$5" lockText="1" noThreeD="1"/>
</file>

<file path=xl/ctrlProps/ctrlProp6.xml><?xml version="1.0" encoding="utf-8"?>
<formControlPr xmlns="http://schemas.microsoft.com/office/spreadsheetml/2009/9/main" objectType="CheckBox" fmlaLink="$P$11" lockText="1" noThreeD="1"/>
</file>

<file path=xl/ctrlProps/ctrlProp60.xml><?xml version="1.0" encoding="utf-8"?>
<formControlPr xmlns="http://schemas.microsoft.com/office/spreadsheetml/2009/9/main" objectType="CheckBox" fmlaLink="$Q$7" lockText="1" noThreeD="1"/>
</file>

<file path=xl/ctrlProps/ctrlProp61.xml><?xml version="1.0" encoding="utf-8"?>
<formControlPr xmlns="http://schemas.microsoft.com/office/spreadsheetml/2009/9/main" objectType="CheckBox" fmlaLink="$Q$9" lockText="1" noThreeD="1"/>
</file>

<file path=xl/ctrlProps/ctrlProp62.xml><?xml version="1.0" encoding="utf-8"?>
<formControlPr xmlns="http://schemas.microsoft.com/office/spreadsheetml/2009/9/main" objectType="CheckBox" fmlaLink="$Q$3" lockText="1" noThreeD="1"/>
</file>

<file path=xl/ctrlProps/ctrlProp63.xml><?xml version="1.0" encoding="utf-8"?>
<formControlPr xmlns="http://schemas.microsoft.com/office/spreadsheetml/2009/9/main" objectType="CheckBox" fmlaLink="$Q$10" lockText="1" noThreeD="1"/>
</file>

<file path=xl/ctrlProps/ctrlProp64.xml><?xml version="1.0" encoding="utf-8"?>
<formControlPr xmlns="http://schemas.microsoft.com/office/spreadsheetml/2009/9/main" objectType="CheckBox" fmlaLink="$Q$3" lockText="1" noThreeD="1"/>
</file>

<file path=xl/ctrlProps/ctrlProp65.xml><?xml version="1.0" encoding="utf-8"?>
<formControlPr xmlns="http://schemas.microsoft.com/office/spreadsheetml/2009/9/main" objectType="CheckBox" fmlaLink="$Q$4" lockText="1" noThreeD="1"/>
</file>

<file path=xl/ctrlProps/ctrlProp66.xml><?xml version="1.0" encoding="utf-8"?>
<formControlPr xmlns="http://schemas.microsoft.com/office/spreadsheetml/2009/9/main" objectType="CheckBox" fmlaLink="$Q$8" lockText="1" noThreeD="1"/>
</file>

<file path=xl/ctrlProps/ctrlProp67.xml><?xml version="1.0" encoding="utf-8"?>
<formControlPr xmlns="http://schemas.microsoft.com/office/spreadsheetml/2009/9/main" objectType="CheckBox" fmlaLink="$Q$9" lockText="1" noThreeD="1"/>
</file>

<file path=xl/ctrlProps/ctrlProp68.xml><?xml version="1.0" encoding="utf-8"?>
<formControlPr xmlns="http://schemas.microsoft.com/office/spreadsheetml/2009/9/main" objectType="CheckBox" fmlaLink="$Q$11" lockText="1" noThreeD="1"/>
</file>

<file path=xl/ctrlProps/ctrlProp69.xml><?xml version="1.0" encoding="utf-8"?>
<formControlPr xmlns="http://schemas.microsoft.com/office/spreadsheetml/2009/9/main" objectType="CheckBox" fmlaLink="$Q$12" lockText="1" noThreeD="1"/>
</file>

<file path=xl/ctrlProps/ctrlProp7.xml><?xml version="1.0" encoding="utf-8"?>
<formControlPr xmlns="http://schemas.microsoft.com/office/spreadsheetml/2009/9/main" objectType="CheckBox" fmlaLink="$P$12" lockText="1" noThreeD="1"/>
</file>

<file path=xl/ctrlProps/ctrlProp70.xml><?xml version="1.0" encoding="utf-8"?>
<formControlPr xmlns="http://schemas.microsoft.com/office/spreadsheetml/2009/9/main" objectType="CheckBox" fmlaLink="$Q$13" lockText="1" noThreeD="1"/>
</file>

<file path=xl/ctrlProps/ctrlProp71.xml><?xml version="1.0" encoding="utf-8"?>
<formControlPr xmlns="http://schemas.microsoft.com/office/spreadsheetml/2009/9/main" objectType="CheckBox" fmlaLink="$Q$14" noThreeD="1"/>
</file>

<file path=xl/ctrlProps/ctrlProp72.xml><?xml version="1.0" encoding="utf-8"?>
<formControlPr xmlns="http://schemas.microsoft.com/office/spreadsheetml/2009/9/main" objectType="CheckBox" fmlaLink="$Q$15" lockText="1" noThreeD="1"/>
</file>

<file path=xl/ctrlProps/ctrlProp73.xml><?xml version="1.0" encoding="utf-8"?>
<formControlPr xmlns="http://schemas.microsoft.com/office/spreadsheetml/2009/9/main" objectType="CheckBox" fmlaLink="$Q$12" lockText="1" noThreeD="1"/>
</file>

<file path=xl/ctrlProps/ctrlProp74.xml><?xml version="1.0" encoding="utf-8"?>
<formControlPr xmlns="http://schemas.microsoft.com/office/spreadsheetml/2009/9/main" objectType="CheckBox" fmlaLink="$Q$7" lockText="1" noThreeD="1"/>
</file>

<file path=xl/ctrlProps/ctrlProp75.xml><?xml version="1.0" encoding="utf-8"?>
<formControlPr xmlns="http://schemas.microsoft.com/office/spreadsheetml/2009/9/main" objectType="CheckBox" fmlaLink="$Q$5" lockText="1" noThreeD="1"/>
</file>

<file path=xl/ctrlProps/ctrlProp76.xml><?xml version="1.0" encoding="utf-8"?>
<formControlPr xmlns="http://schemas.microsoft.com/office/spreadsheetml/2009/9/main" objectType="CheckBox" fmlaLink="$Q$15" lockText="1" noThreeD="1"/>
</file>

<file path=xl/ctrlProps/ctrlProp77.xml><?xml version="1.0" encoding="utf-8"?>
<formControlPr xmlns="http://schemas.microsoft.com/office/spreadsheetml/2009/9/main" objectType="CheckBox" fmlaLink="$Q$14" lockText="1" noThreeD="1"/>
</file>

<file path=xl/ctrlProps/ctrlProp78.xml><?xml version="1.0" encoding="utf-8"?>
<formControlPr xmlns="http://schemas.microsoft.com/office/spreadsheetml/2009/9/main" objectType="CheckBox" fmlaLink="$Q$5" lockText="1" noThreeD="1"/>
</file>

<file path=xl/ctrlProps/ctrlProp79.xml><?xml version="1.0" encoding="utf-8"?>
<formControlPr xmlns="http://schemas.microsoft.com/office/spreadsheetml/2009/9/main" objectType="CheckBox" fmlaLink="$Q$10" lockText="1" noThreeD="1"/>
</file>

<file path=xl/ctrlProps/ctrlProp8.xml><?xml version="1.0" encoding="utf-8"?>
<formControlPr xmlns="http://schemas.microsoft.com/office/spreadsheetml/2009/9/main" objectType="CheckBox" fmlaLink="$P$13" lockText="1" noThreeD="1"/>
</file>

<file path=xl/ctrlProps/ctrlProp80.xml><?xml version="1.0" encoding="utf-8"?>
<formControlPr xmlns="http://schemas.microsoft.com/office/spreadsheetml/2009/9/main" objectType="CheckBox" fmlaLink="$Q$3" lockText="1" noThreeD="1"/>
</file>

<file path=xl/ctrlProps/ctrlProp81.xml><?xml version="1.0" encoding="utf-8"?>
<formControlPr xmlns="http://schemas.microsoft.com/office/spreadsheetml/2009/9/main" objectType="CheckBox" fmlaLink="$Q$12" lockText="1" noThreeD="1"/>
</file>

<file path=xl/ctrlProps/ctrlProp82.xml><?xml version="1.0" encoding="utf-8"?>
<formControlPr xmlns="http://schemas.microsoft.com/office/spreadsheetml/2009/9/main" objectType="CheckBox" fmlaLink="$Q$4" lockText="1" noThreeD="1"/>
</file>

<file path=xl/ctrlProps/ctrlProp83.xml><?xml version="1.0" encoding="utf-8"?>
<formControlPr xmlns="http://schemas.microsoft.com/office/spreadsheetml/2009/9/main" objectType="CheckBox" fmlaLink="$Q$7" lockText="1" noThreeD="1"/>
</file>

<file path=xl/ctrlProps/ctrlProp84.xml><?xml version="1.0" encoding="utf-8"?>
<formControlPr xmlns="http://schemas.microsoft.com/office/spreadsheetml/2009/9/main" objectType="CheckBox" fmlaLink="$Q$11" lockText="1" noThreeD="1"/>
</file>

<file path=xl/ctrlProps/ctrlProp85.xml><?xml version="1.0" encoding="utf-8"?>
<formControlPr xmlns="http://schemas.microsoft.com/office/spreadsheetml/2009/9/main" objectType="CheckBox" fmlaLink="$Q$14" lockText="1" noThreeD="1"/>
</file>

<file path=xl/ctrlProps/ctrlProp86.xml><?xml version="1.0" encoding="utf-8"?>
<formControlPr xmlns="http://schemas.microsoft.com/office/spreadsheetml/2009/9/main" objectType="CheckBox" fmlaLink="$Q$16" lockText="1" noThreeD="1"/>
</file>

<file path=xl/ctrlProps/ctrlProp87.xml><?xml version="1.0" encoding="utf-8"?>
<formControlPr xmlns="http://schemas.microsoft.com/office/spreadsheetml/2009/9/main" objectType="CheckBox" fmlaLink="$Q$6" lockText="1" noThreeD="1"/>
</file>

<file path=xl/ctrlProps/ctrlProp88.xml><?xml version="1.0" encoding="utf-8"?>
<formControlPr xmlns="http://schemas.microsoft.com/office/spreadsheetml/2009/9/main" objectType="CheckBox" fmlaLink="$Q$8" lockText="1" noThreeD="1"/>
</file>

<file path=xl/ctrlProps/ctrlProp89.xml><?xml version="1.0" encoding="utf-8"?>
<formControlPr xmlns="http://schemas.microsoft.com/office/spreadsheetml/2009/9/main" objectType="Radio" checked="Checked" firstButton="1" fmlaLink="$Q$5" lockText="1" noThreeD="1"/>
</file>

<file path=xl/ctrlProps/ctrlProp9.xml><?xml version="1.0" encoding="utf-8"?>
<formControlPr xmlns="http://schemas.microsoft.com/office/spreadsheetml/2009/9/main" objectType="CheckBox" fmlaLink="$P$14" lockText="1" noThreeD="1"/>
</file>

<file path=xl/ctrlProps/ctrlProp90.xml><?xml version="1.0" encoding="utf-8"?>
<formControlPr xmlns="http://schemas.microsoft.com/office/spreadsheetml/2009/9/main" objectType="Radio" lockText="1" noThreeD="1"/>
</file>

<file path=xl/ctrlProps/ctrlProp91.xml><?xml version="1.0" encoding="utf-8"?>
<formControlPr xmlns="http://schemas.microsoft.com/office/spreadsheetml/2009/9/main" objectType="Radio" lockText="1" noThreeD="1"/>
</file>

<file path=xl/ctrlProps/ctrlProp92.xml><?xml version="1.0" encoding="utf-8"?>
<formControlPr xmlns="http://schemas.microsoft.com/office/spreadsheetml/2009/9/main" objectType="Radio" lockText="1" noThreeD="1"/>
</file>

<file path=xl/ctrlProps/ctrlProp93.xml><?xml version="1.0" encoding="utf-8"?>
<formControlPr xmlns="http://schemas.microsoft.com/office/spreadsheetml/2009/9/main" objectType="Radio" lockText="1" noThreeD="1"/>
</file>

<file path=xl/ctrlProps/ctrlProp94.xml><?xml version="1.0" encoding="utf-8"?>
<formControlPr xmlns="http://schemas.microsoft.com/office/spreadsheetml/2009/9/main" objectType="Radio" lockText="1" noThreeD="1"/>
</file>

<file path=xl/ctrlProps/ctrlProp95.xml><?xml version="1.0" encoding="utf-8"?>
<formControlPr xmlns="http://schemas.microsoft.com/office/spreadsheetml/2009/9/main" objectType="CheckBox" fmlaLink="$R$3" lockText="1" noThreeD="1"/>
</file>

<file path=xl/ctrlProps/ctrlProp96.xml><?xml version="1.0" encoding="utf-8"?>
<formControlPr xmlns="http://schemas.microsoft.com/office/spreadsheetml/2009/9/main" objectType="CheckBox" fmlaLink="$R$4" lockText="1" noThreeD="1"/>
</file>

<file path=xl/ctrlProps/ctrlProp97.xml><?xml version="1.0" encoding="utf-8"?>
<formControlPr xmlns="http://schemas.microsoft.com/office/spreadsheetml/2009/9/main" objectType="CheckBox" fmlaLink="$R$5" lockText="1" noThreeD="1"/>
</file>

<file path=xl/ctrlProps/ctrlProp98.xml><?xml version="1.0" encoding="utf-8"?>
<formControlPr xmlns="http://schemas.microsoft.com/office/spreadsheetml/2009/9/main" objectType="CheckBox" fmlaLink="$R$3" lockText="1" noThreeD="1"/>
</file>

<file path=xl/ctrlProps/ctrlProp99.xml><?xml version="1.0" encoding="utf-8"?>
<formControlPr xmlns="http://schemas.microsoft.com/office/spreadsheetml/2009/9/main" objectType="CheckBox" fmlaLink="$R$4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2</xdr:row>
          <xdr:rowOff>0</xdr:rowOff>
        </xdr:from>
        <xdr:to>
          <xdr:col>5</xdr:col>
          <xdr:colOff>304800</xdr:colOff>
          <xdr:row>3</xdr:row>
          <xdr:rowOff>47625</xdr:rowOff>
        </xdr:to>
        <xdr:sp macro="" textlink="">
          <xdr:nvSpPr>
            <xdr:cNvPr id="37891" name="Check Box 3" descr="Kisgéphajó" hidden="1">
              <a:extLst>
                <a:ext uri="{63B3BB69-23CF-44E3-9099-C40C66FF867C}">
                  <a14:compatExt spid="_x0000_s37891"/>
                </a:ext>
                <a:ext uri="{FF2B5EF4-FFF2-40B4-BE49-F238E27FC236}">
                  <a16:creationId xmlns:a16="http://schemas.microsoft.com/office/drawing/2014/main" id="{00000000-0008-0000-0100-000003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Belvízi kedvtelési célú kisgéphajó vezető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3</xdr:row>
          <xdr:rowOff>0</xdr:rowOff>
        </xdr:from>
        <xdr:to>
          <xdr:col>5</xdr:col>
          <xdr:colOff>342900</xdr:colOff>
          <xdr:row>4</xdr:row>
          <xdr:rowOff>47625</xdr:rowOff>
        </xdr:to>
        <xdr:sp macro="" textlink="">
          <xdr:nvSpPr>
            <xdr:cNvPr id="37893" name="Check Box 5" descr="Vitorlás" hidden="1">
              <a:extLst>
                <a:ext uri="{63B3BB69-23CF-44E3-9099-C40C66FF867C}">
                  <a14:compatExt spid="_x0000_s37893"/>
                </a:ext>
                <a:ext uri="{FF2B5EF4-FFF2-40B4-BE49-F238E27FC236}">
                  <a16:creationId xmlns:a16="http://schemas.microsoft.com/office/drawing/2014/main" id="{00000000-0008-0000-0100-000005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Belvízi kedvtelési célú vitorlás kishajó vezető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7</xdr:row>
          <xdr:rowOff>66675</xdr:rowOff>
        </xdr:from>
        <xdr:to>
          <xdr:col>5</xdr:col>
          <xdr:colOff>342900</xdr:colOff>
          <xdr:row>8</xdr:row>
          <xdr:rowOff>114300</xdr:rowOff>
        </xdr:to>
        <xdr:sp macro="" textlink="">
          <xdr:nvSpPr>
            <xdr:cNvPr id="37895" name="Check Box 7" hidden="1">
              <a:extLst>
                <a:ext uri="{63B3BB69-23CF-44E3-9099-C40C66FF867C}">
                  <a14:compatExt spid="_x0000_s37895"/>
                </a:ext>
                <a:ext uri="{FF2B5EF4-FFF2-40B4-BE49-F238E27FC236}">
                  <a16:creationId xmlns:a16="http://schemas.microsoft.com/office/drawing/2014/main" id="{00000000-0008-0000-0100-000007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2013 július 22 előtt megszerzett, belvízi kedvtelési célú vitorlás kishajó vezető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8</xdr:row>
          <xdr:rowOff>123825</xdr:rowOff>
        </xdr:from>
        <xdr:to>
          <xdr:col>4</xdr:col>
          <xdr:colOff>742950</xdr:colOff>
          <xdr:row>9</xdr:row>
          <xdr:rowOff>152400</xdr:rowOff>
        </xdr:to>
        <xdr:sp macro="" textlink="">
          <xdr:nvSpPr>
            <xdr:cNvPr id="37896" name="Check Box 8" hidden="1">
              <a:extLst>
                <a:ext uri="{63B3BB69-23CF-44E3-9099-C40C66FF867C}">
                  <a14:compatExt spid="_x0000_s37896"/>
                </a:ext>
                <a:ext uri="{FF2B5EF4-FFF2-40B4-BE49-F238E27FC236}">
                  <a16:creationId xmlns:a16="http://schemas.microsoft.com/office/drawing/2014/main" id="{00000000-0008-0000-0100-000008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belvízi kedvtelési célú kisgéphajó vezető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6</xdr:row>
          <xdr:rowOff>9525</xdr:rowOff>
        </xdr:from>
        <xdr:to>
          <xdr:col>5</xdr:col>
          <xdr:colOff>342900</xdr:colOff>
          <xdr:row>7</xdr:row>
          <xdr:rowOff>57150</xdr:rowOff>
        </xdr:to>
        <xdr:sp macro="" textlink="">
          <xdr:nvSpPr>
            <xdr:cNvPr id="37901" name="Check Box 13" hidden="1">
              <a:extLst>
                <a:ext uri="{63B3BB69-23CF-44E3-9099-C40C66FF867C}">
                  <a14:compatExt spid="_x0000_s37901"/>
                </a:ext>
                <a:ext uri="{FF2B5EF4-FFF2-40B4-BE49-F238E27FC236}">
                  <a16:creationId xmlns:a16="http://schemas.microsoft.com/office/drawing/2014/main" id="{00000000-0008-0000-0100-00000D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2013 július 21 után megszerzett, belvízi kedvtelési célú vitorlás kishajó vezető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9</xdr:row>
          <xdr:rowOff>161925</xdr:rowOff>
        </xdr:from>
        <xdr:to>
          <xdr:col>5</xdr:col>
          <xdr:colOff>1114425</xdr:colOff>
          <xdr:row>10</xdr:row>
          <xdr:rowOff>180975</xdr:rowOff>
        </xdr:to>
        <xdr:sp macro="" textlink="">
          <xdr:nvSpPr>
            <xdr:cNvPr id="37903" name="Check Box 15" hidden="1">
              <a:extLst>
                <a:ext uri="{63B3BB69-23CF-44E3-9099-C40C66FF867C}">
                  <a14:compatExt spid="_x0000_s37903"/>
                </a:ext>
                <a:ext uri="{FF2B5EF4-FFF2-40B4-BE49-F238E27FC236}">
                  <a16:creationId xmlns:a16="http://schemas.microsoft.com/office/drawing/2014/main" id="{00000000-0008-0000-0100-00000F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szolgálati célú kisgéphajó vezető vagy annál magasabb szintű géphajó vezető képesítés (UNIÓS kivételével)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10</xdr:row>
          <xdr:rowOff>180975</xdr:rowOff>
        </xdr:from>
        <xdr:to>
          <xdr:col>5</xdr:col>
          <xdr:colOff>352425</xdr:colOff>
          <xdr:row>11</xdr:row>
          <xdr:rowOff>180975</xdr:rowOff>
        </xdr:to>
        <xdr:sp macro="" textlink="">
          <xdr:nvSpPr>
            <xdr:cNvPr id="37904" name="Check Box 16" hidden="1">
              <a:extLst>
                <a:ext uri="{63B3BB69-23CF-44E3-9099-C40C66FF867C}">
                  <a14:compatExt spid="_x0000_s37904"/>
                </a:ext>
                <a:ext uri="{FF2B5EF4-FFF2-40B4-BE49-F238E27FC236}">
                  <a16:creationId xmlns:a16="http://schemas.microsoft.com/office/drawing/2014/main" id="{00000000-0008-0000-0100-000010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hivatásos vitorlás kishajó vezető vagy annál magasabb szintű vitorlás hajó vezető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12</xdr:row>
          <xdr:rowOff>0</xdr:rowOff>
        </xdr:from>
        <xdr:to>
          <xdr:col>5</xdr:col>
          <xdr:colOff>352425</xdr:colOff>
          <xdr:row>12</xdr:row>
          <xdr:rowOff>190500</xdr:rowOff>
        </xdr:to>
        <xdr:sp macro="" textlink="">
          <xdr:nvSpPr>
            <xdr:cNvPr id="37906" name="Check Box 18" hidden="1">
              <a:extLst>
                <a:ext uri="{63B3BB69-23CF-44E3-9099-C40C66FF867C}">
                  <a14:compatExt spid="_x0000_s37906"/>
                </a:ext>
                <a:ext uri="{FF2B5EF4-FFF2-40B4-BE49-F238E27FC236}">
                  <a16:creationId xmlns:a16="http://schemas.microsoft.com/office/drawing/2014/main" id="{00000000-0008-0000-0100-00001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UNIÓS hajóvezető képesítés "V" (vitorlás) kód bejegyzéssel.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12</xdr:row>
          <xdr:rowOff>200025</xdr:rowOff>
        </xdr:from>
        <xdr:to>
          <xdr:col>5</xdr:col>
          <xdr:colOff>352425</xdr:colOff>
          <xdr:row>13</xdr:row>
          <xdr:rowOff>180975</xdr:rowOff>
        </xdr:to>
        <xdr:sp macro="" textlink="">
          <xdr:nvSpPr>
            <xdr:cNvPr id="37907" name="Check Box 19" hidden="1">
              <a:extLst>
                <a:ext uri="{63B3BB69-23CF-44E3-9099-C40C66FF867C}">
                  <a14:compatExt spid="_x0000_s37907"/>
                </a:ext>
                <a:ext uri="{FF2B5EF4-FFF2-40B4-BE49-F238E27FC236}">
                  <a16:creationId xmlns:a16="http://schemas.microsoft.com/office/drawing/2014/main" id="{00000000-0008-0000-0100-000013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UNIÓS hajóvezető képesítés "V" (vitorlás) kód bejegyzés nélkül.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13</xdr:row>
          <xdr:rowOff>161925</xdr:rowOff>
        </xdr:from>
        <xdr:to>
          <xdr:col>7</xdr:col>
          <xdr:colOff>876300</xdr:colOff>
          <xdr:row>15</xdr:row>
          <xdr:rowOff>66675</xdr:rowOff>
        </xdr:to>
        <xdr:sp macro="" textlink="">
          <xdr:nvSpPr>
            <xdr:cNvPr id="37909" name="Check Box 21" hidden="1">
              <a:extLst>
                <a:ext uri="{63B3BB69-23CF-44E3-9099-C40C66FF867C}">
                  <a14:compatExt spid="_x0000_s37909"/>
                </a:ext>
                <a:ext uri="{FF2B5EF4-FFF2-40B4-BE49-F238E27FC236}">
                  <a16:creationId xmlns:a16="http://schemas.microsoft.com/office/drawing/2014/main" id="{00000000-0008-0000-0100-000015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Rendelkezik hajózási képesítéssel és iskolarendszerű képzésben, a vizsgatárgyból azonos, vagy magasabb szinten sikeres vizsgát tett (felmentési kérelem)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14</xdr:row>
          <xdr:rowOff>190500</xdr:rowOff>
        </xdr:from>
        <xdr:to>
          <xdr:col>6</xdr:col>
          <xdr:colOff>685800</xdr:colOff>
          <xdr:row>16</xdr:row>
          <xdr:rowOff>57150</xdr:rowOff>
        </xdr:to>
        <xdr:sp macro="" textlink="">
          <xdr:nvSpPr>
            <xdr:cNvPr id="37910" name="Check Box 22" hidden="1">
              <a:extLst>
                <a:ext uri="{63B3BB69-23CF-44E3-9099-C40C66FF867C}">
                  <a14:compatExt spid="_x0000_s37910"/>
                </a:ext>
                <a:ext uri="{FF2B5EF4-FFF2-40B4-BE49-F238E27FC236}">
                  <a16:creationId xmlns:a16="http://schemas.microsoft.com/office/drawing/2014/main" id="{00000000-0008-0000-0100-000016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hajózási szakképzésben szerzett képesítő bizonyítvány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7</xdr:row>
          <xdr:rowOff>95250</xdr:rowOff>
        </xdr:from>
        <xdr:to>
          <xdr:col>5</xdr:col>
          <xdr:colOff>371475</xdr:colOff>
          <xdr:row>8</xdr:row>
          <xdr:rowOff>114300</xdr:rowOff>
        </xdr:to>
        <xdr:sp macro="" textlink="">
          <xdr:nvSpPr>
            <xdr:cNvPr id="23556" name="Check Box 4" hidden="1">
              <a:extLst>
                <a:ext uri="{63B3BB69-23CF-44E3-9099-C40C66FF867C}">
                  <a14:compatExt spid="_x0000_s23556"/>
                </a:ext>
                <a:ext uri="{FF2B5EF4-FFF2-40B4-BE49-F238E27FC236}">
                  <a16:creationId xmlns:a16="http://schemas.microsoft.com/office/drawing/2014/main" id="{00000000-0008-0000-0A00-00000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gépkezelő vagy géptiszt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5</xdr:row>
          <xdr:rowOff>180975</xdr:rowOff>
        </xdr:from>
        <xdr:to>
          <xdr:col>5</xdr:col>
          <xdr:colOff>257175</xdr:colOff>
          <xdr:row>7</xdr:row>
          <xdr:rowOff>19050</xdr:rowOff>
        </xdr:to>
        <xdr:sp macro="" textlink="">
          <xdr:nvSpPr>
            <xdr:cNvPr id="23558" name="Check Box 6" hidden="1">
              <a:extLst>
                <a:ext uri="{63B3BB69-23CF-44E3-9099-C40C66FF867C}">
                  <a14:compatExt spid="_x0000_s23558"/>
                </a:ext>
                <a:ext uri="{FF2B5EF4-FFF2-40B4-BE49-F238E27FC236}">
                  <a16:creationId xmlns:a16="http://schemas.microsoft.com/office/drawing/2014/main" id="{00000000-0008-0000-0A00-000006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gépnélküli hajó vezető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4</xdr:row>
          <xdr:rowOff>0</xdr:rowOff>
        </xdr:from>
        <xdr:to>
          <xdr:col>6</xdr:col>
          <xdr:colOff>895350</xdr:colOff>
          <xdr:row>6</xdr:row>
          <xdr:rowOff>9525</xdr:rowOff>
        </xdr:to>
        <xdr:sp macro="" textlink="">
          <xdr:nvSpPr>
            <xdr:cNvPr id="23564" name="Check Box 12" hidden="1">
              <a:extLst>
                <a:ext uri="{63B3BB69-23CF-44E3-9099-C40C66FF867C}">
                  <a14:compatExt spid="_x0000_s23564"/>
                </a:ext>
                <a:ext uri="{FF2B5EF4-FFF2-40B4-BE49-F238E27FC236}">
                  <a16:creationId xmlns:a16="http://schemas.microsoft.com/office/drawing/2014/main" id="{00000000-0008-0000-0A00-00000C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szolgálati célú kisgéphajó vezetői vagy hivatásos kishajó vezetői vagy  magasabb szintű hajóvezetői képesítés vagy UMG vezetői vagy géphajó kormányosi vagy révész "A"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8</xdr:row>
          <xdr:rowOff>142875</xdr:rowOff>
        </xdr:from>
        <xdr:to>
          <xdr:col>8</xdr:col>
          <xdr:colOff>809625</xdr:colOff>
          <xdr:row>10</xdr:row>
          <xdr:rowOff>47625</xdr:rowOff>
        </xdr:to>
        <xdr:sp macro="" textlink="">
          <xdr:nvSpPr>
            <xdr:cNvPr id="23565" name="Check Box 13" hidden="1">
              <a:extLst>
                <a:ext uri="{63B3BB69-23CF-44E3-9099-C40C66FF867C}">
                  <a14:compatExt spid="_x0000_s23565"/>
                </a:ext>
                <a:ext uri="{FF2B5EF4-FFF2-40B4-BE49-F238E27FC236}">
                  <a16:creationId xmlns:a16="http://schemas.microsoft.com/office/drawing/2014/main" id="{00000000-0008-0000-0A00-00000D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Rendelkezik hajózási képesítéssel és iskolarendszerű képzésben, a vizsgatárgyból azonos, vagy magasabb szinten sikeres vizsgát tett (felmentési kérelem)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10</xdr:row>
          <xdr:rowOff>95250</xdr:rowOff>
        </xdr:from>
        <xdr:to>
          <xdr:col>8</xdr:col>
          <xdr:colOff>47625</xdr:colOff>
          <xdr:row>10</xdr:row>
          <xdr:rowOff>323850</xdr:rowOff>
        </xdr:to>
        <xdr:sp macro="" textlink="">
          <xdr:nvSpPr>
            <xdr:cNvPr id="23566" name="Check Box 14" hidden="1">
              <a:extLst>
                <a:ext uri="{63B3BB69-23CF-44E3-9099-C40C66FF867C}">
                  <a14:compatExt spid="_x0000_s23566"/>
                </a:ext>
                <a:ext uri="{FF2B5EF4-FFF2-40B4-BE49-F238E27FC236}">
                  <a16:creationId xmlns:a16="http://schemas.microsoft.com/office/drawing/2014/main" id="{00000000-0008-0000-0A00-00000E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hajózási szakképzésben szerzett bizonyítvány</a:t>
              </a:r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7</xdr:row>
          <xdr:rowOff>114300</xdr:rowOff>
        </xdr:from>
        <xdr:to>
          <xdr:col>6</xdr:col>
          <xdr:colOff>666750</xdr:colOff>
          <xdr:row>8</xdr:row>
          <xdr:rowOff>123825</xdr:rowOff>
        </xdr:to>
        <xdr:sp macro="" textlink="">
          <xdr:nvSpPr>
            <xdr:cNvPr id="25601" name="Check Box 1" descr="Van belvízi kedvtelési célú kishajó vezetői képesítés" hidden="1">
              <a:extLst>
                <a:ext uri="{63B3BB69-23CF-44E3-9099-C40C66FF867C}">
                  <a14:compatExt spid="_x0000_s25601"/>
                </a:ext>
                <a:ext uri="{FF2B5EF4-FFF2-40B4-BE49-F238E27FC236}">
                  <a16:creationId xmlns:a16="http://schemas.microsoft.com/office/drawing/2014/main" id="{00000000-0008-0000-0B00-00000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belvízi kedvtelési célú kishajó vezetői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10</xdr:row>
          <xdr:rowOff>38100</xdr:rowOff>
        </xdr:from>
        <xdr:to>
          <xdr:col>5</xdr:col>
          <xdr:colOff>371475</xdr:colOff>
          <xdr:row>11</xdr:row>
          <xdr:rowOff>19050</xdr:rowOff>
        </xdr:to>
        <xdr:sp macro="" textlink="">
          <xdr:nvSpPr>
            <xdr:cNvPr id="25602" name="Check Box 2" hidden="1">
              <a:extLst>
                <a:ext uri="{63B3BB69-23CF-44E3-9099-C40C66FF867C}">
                  <a14:compatExt spid="_x0000_s25602"/>
                </a:ext>
                <a:ext uri="{FF2B5EF4-FFF2-40B4-BE49-F238E27FC236}">
                  <a16:creationId xmlns:a16="http://schemas.microsoft.com/office/drawing/2014/main" id="{00000000-0008-0000-0B00-00000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révész A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3</xdr:row>
          <xdr:rowOff>95250</xdr:rowOff>
        </xdr:from>
        <xdr:to>
          <xdr:col>6</xdr:col>
          <xdr:colOff>666750</xdr:colOff>
          <xdr:row>3</xdr:row>
          <xdr:rowOff>333375</xdr:rowOff>
        </xdr:to>
        <xdr:sp macro="" textlink="">
          <xdr:nvSpPr>
            <xdr:cNvPr id="25603" name="Check Box 3" hidden="1">
              <a:extLst>
                <a:ext uri="{63B3BB69-23CF-44E3-9099-C40C66FF867C}">
                  <a14:compatExt spid="_x0000_s25603"/>
                </a:ext>
                <a:ext uri="{FF2B5EF4-FFF2-40B4-BE49-F238E27FC236}">
                  <a16:creationId xmlns:a16="http://schemas.microsoft.com/office/drawing/2014/main" id="{00000000-0008-0000-0B00-00000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szolgálati célú vagy hivatásos kishajó vezetői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12</xdr:row>
          <xdr:rowOff>123825</xdr:rowOff>
        </xdr:from>
        <xdr:to>
          <xdr:col>7</xdr:col>
          <xdr:colOff>952500</xdr:colOff>
          <xdr:row>13</xdr:row>
          <xdr:rowOff>114300</xdr:rowOff>
        </xdr:to>
        <xdr:sp macro="" textlink="">
          <xdr:nvSpPr>
            <xdr:cNvPr id="25604" name="Check Box 4" descr="Tengeri hajón, fedélzeti személyzet tagjaként legalább 9 hónap munkatapasztalat" hidden="1">
              <a:extLst>
                <a:ext uri="{63B3BB69-23CF-44E3-9099-C40C66FF867C}">
                  <a14:compatExt spid="_x0000_s25604"/>
                </a:ext>
                <a:ext uri="{FF2B5EF4-FFF2-40B4-BE49-F238E27FC236}">
                  <a16:creationId xmlns:a16="http://schemas.microsoft.com/office/drawing/2014/main" id="{00000000-0008-0000-0B00-00000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Tengeri hajón, fedélzeti személyzet tagjaként legalább 9 hónap munkatapasztalat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4</xdr:row>
          <xdr:rowOff>161925</xdr:rowOff>
        </xdr:from>
        <xdr:to>
          <xdr:col>6</xdr:col>
          <xdr:colOff>666750</xdr:colOff>
          <xdr:row>5</xdr:row>
          <xdr:rowOff>171450</xdr:rowOff>
        </xdr:to>
        <xdr:sp macro="" textlink="">
          <xdr:nvSpPr>
            <xdr:cNvPr id="25605" name="Check Box 5" hidden="1">
              <a:extLst>
                <a:ext uri="{63B3BB69-23CF-44E3-9099-C40C66FF867C}">
                  <a14:compatExt spid="_x0000_s25605"/>
                </a:ext>
                <a:ext uri="{FF2B5EF4-FFF2-40B4-BE49-F238E27FC236}">
                  <a16:creationId xmlns:a16="http://schemas.microsoft.com/office/drawing/2014/main" id="{00000000-0008-0000-0B00-00000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hivatásos kishajó vezető A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8</xdr:row>
          <xdr:rowOff>180975</xdr:rowOff>
        </xdr:from>
        <xdr:to>
          <xdr:col>5</xdr:col>
          <xdr:colOff>257175</xdr:colOff>
          <xdr:row>9</xdr:row>
          <xdr:rowOff>171450</xdr:rowOff>
        </xdr:to>
        <xdr:sp macro="" textlink="">
          <xdr:nvSpPr>
            <xdr:cNvPr id="25606" name="Check Box 6" hidden="1">
              <a:extLst>
                <a:ext uri="{63B3BB69-23CF-44E3-9099-C40C66FF867C}">
                  <a14:compatExt spid="_x0000_s25606"/>
                </a:ext>
                <a:ext uri="{FF2B5EF4-FFF2-40B4-BE49-F238E27FC236}">
                  <a16:creationId xmlns:a16="http://schemas.microsoft.com/office/drawing/2014/main" id="{00000000-0008-0000-0B00-00000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géphajó kormányos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11</xdr:row>
          <xdr:rowOff>85725</xdr:rowOff>
        </xdr:from>
        <xdr:to>
          <xdr:col>5</xdr:col>
          <xdr:colOff>257175</xdr:colOff>
          <xdr:row>12</xdr:row>
          <xdr:rowOff>76200</xdr:rowOff>
        </xdr:to>
        <xdr:sp macro="" textlink="">
          <xdr:nvSpPr>
            <xdr:cNvPr id="25609" name="Check Box 9" hidden="1">
              <a:extLst>
                <a:ext uri="{63B3BB69-23CF-44E3-9099-C40C66FF867C}">
                  <a14:compatExt spid="_x0000_s25609"/>
                </a:ext>
                <a:ext uri="{FF2B5EF4-FFF2-40B4-BE49-F238E27FC236}">
                  <a16:creationId xmlns:a16="http://schemas.microsoft.com/office/drawing/2014/main" id="{00000000-0008-0000-0B00-00000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hajózási szakképzésben szerzett bizonyítvány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13</xdr:row>
          <xdr:rowOff>142875</xdr:rowOff>
        </xdr:from>
        <xdr:to>
          <xdr:col>5</xdr:col>
          <xdr:colOff>371475</xdr:colOff>
          <xdr:row>14</xdr:row>
          <xdr:rowOff>123825</xdr:rowOff>
        </xdr:to>
        <xdr:sp macro="" textlink="">
          <xdr:nvSpPr>
            <xdr:cNvPr id="25612" name="Check Box 12" hidden="1">
              <a:extLst>
                <a:ext uri="{63B3BB69-23CF-44E3-9099-C40C66FF867C}">
                  <a14:compatExt spid="_x0000_s25612"/>
                </a:ext>
                <a:ext uri="{FF2B5EF4-FFF2-40B4-BE49-F238E27FC236}">
                  <a16:creationId xmlns:a16="http://schemas.microsoft.com/office/drawing/2014/main" id="{00000000-0008-0000-0B00-00000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radarhajós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6</xdr:row>
          <xdr:rowOff>47625</xdr:rowOff>
        </xdr:from>
        <xdr:to>
          <xdr:col>6</xdr:col>
          <xdr:colOff>666750</xdr:colOff>
          <xdr:row>7</xdr:row>
          <xdr:rowOff>57150</xdr:rowOff>
        </xdr:to>
        <xdr:sp macro="" textlink="">
          <xdr:nvSpPr>
            <xdr:cNvPr id="25613" name="Check Box 13" hidden="1">
              <a:extLst>
                <a:ext uri="{63B3BB69-23CF-44E3-9099-C40C66FF867C}">
                  <a14:compatExt spid="_x0000_s25613"/>
                </a:ext>
                <a:ext uri="{FF2B5EF4-FFF2-40B4-BE49-F238E27FC236}">
                  <a16:creationId xmlns:a16="http://schemas.microsoft.com/office/drawing/2014/main" id="{00000000-0008-0000-0B00-00000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hivatásos kishajó vezető A képesítés és legalább egy év személyhajóvezetői gyakorlat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2</xdr:row>
          <xdr:rowOff>28575</xdr:rowOff>
        </xdr:from>
        <xdr:to>
          <xdr:col>6</xdr:col>
          <xdr:colOff>666750</xdr:colOff>
          <xdr:row>3</xdr:row>
          <xdr:rowOff>38100</xdr:rowOff>
        </xdr:to>
        <xdr:sp macro="" textlink="">
          <xdr:nvSpPr>
            <xdr:cNvPr id="25616" name="Check Box 16" hidden="1">
              <a:extLst>
                <a:ext uri="{63B3BB69-23CF-44E3-9099-C40C66FF867C}">
                  <a14:compatExt spid="_x0000_s25616"/>
                </a:ext>
                <a:ext uri="{FF2B5EF4-FFF2-40B4-BE49-F238E27FC236}">
                  <a16:creationId xmlns:a16="http://schemas.microsoft.com/office/drawing/2014/main" id="{00000000-0008-0000-0B00-00001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vitorlás hajó vezetésére jogosító C kategóriájú hajóvezető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14</xdr:row>
          <xdr:rowOff>142875</xdr:rowOff>
        </xdr:from>
        <xdr:to>
          <xdr:col>8</xdr:col>
          <xdr:colOff>933450</xdr:colOff>
          <xdr:row>15</xdr:row>
          <xdr:rowOff>200025</xdr:rowOff>
        </xdr:to>
        <xdr:sp macro="" textlink="">
          <xdr:nvSpPr>
            <xdr:cNvPr id="25617" name="Check Box 17" hidden="1">
              <a:extLst>
                <a:ext uri="{63B3BB69-23CF-44E3-9099-C40C66FF867C}">
                  <a14:compatExt spid="_x0000_s25617"/>
                </a:ext>
                <a:ext uri="{FF2B5EF4-FFF2-40B4-BE49-F238E27FC236}">
                  <a16:creationId xmlns:a16="http://schemas.microsoft.com/office/drawing/2014/main" id="{00000000-0008-0000-0B00-00001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Rendelkezik hajózási képesítéssel és iskolarendszerű képzésben, a vizsgatárgyból azonos, vagy magasabb szinten sikeres vizsgát tett (felmentési kérelem)</a:t>
              </a:r>
            </a:p>
          </xdr:txBody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</xdr:row>
          <xdr:rowOff>38100</xdr:rowOff>
        </xdr:from>
        <xdr:to>
          <xdr:col>8</xdr:col>
          <xdr:colOff>285750</xdr:colOff>
          <xdr:row>5</xdr:row>
          <xdr:rowOff>57150</xdr:rowOff>
        </xdr:to>
        <xdr:sp macro="" textlink="">
          <xdr:nvSpPr>
            <xdr:cNvPr id="28679" name="Option Button 7" hidden="1">
              <a:extLst>
                <a:ext uri="{63B3BB69-23CF-44E3-9099-C40C66FF867C}">
                  <a14:compatExt spid="_x0000_s28679"/>
                </a:ext>
                <a:ext uri="{FF2B5EF4-FFF2-40B4-BE49-F238E27FC236}">
                  <a16:creationId xmlns:a16="http://schemas.microsoft.com/office/drawing/2014/main" id="{00000000-0008-0000-0C00-000007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Veszélyes áru szállítási szakértő képesítés megszerzése (alapvizsga) tartályhajóra és szárazáru szállító hajóra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</xdr:row>
          <xdr:rowOff>47625</xdr:rowOff>
        </xdr:from>
        <xdr:to>
          <xdr:col>8</xdr:col>
          <xdr:colOff>228600</xdr:colOff>
          <xdr:row>6</xdr:row>
          <xdr:rowOff>38100</xdr:rowOff>
        </xdr:to>
        <xdr:sp macro="" textlink="">
          <xdr:nvSpPr>
            <xdr:cNvPr id="28687" name="Option Button 15" hidden="1">
              <a:extLst>
                <a:ext uri="{63B3BB69-23CF-44E3-9099-C40C66FF867C}">
                  <a14:compatExt spid="_x0000_s28687"/>
                </a:ext>
                <a:ext uri="{FF2B5EF4-FFF2-40B4-BE49-F238E27FC236}">
                  <a16:creationId xmlns:a16="http://schemas.microsoft.com/office/drawing/2014/main" id="{00000000-0008-0000-0C00-00000F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Veszélyes áru szállítási szakértő képesítés megszerzése (alapvizsga)tartályhajóra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</xdr:row>
          <xdr:rowOff>57150</xdr:rowOff>
        </xdr:from>
        <xdr:to>
          <xdr:col>8</xdr:col>
          <xdr:colOff>285750</xdr:colOff>
          <xdr:row>7</xdr:row>
          <xdr:rowOff>66675</xdr:rowOff>
        </xdr:to>
        <xdr:sp macro="" textlink="">
          <xdr:nvSpPr>
            <xdr:cNvPr id="28688" name="Option Button 16" hidden="1">
              <a:extLst>
                <a:ext uri="{63B3BB69-23CF-44E3-9099-C40C66FF867C}">
                  <a14:compatExt spid="_x0000_s28688"/>
                </a:ext>
                <a:ext uri="{FF2B5EF4-FFF2-40B4-BE49-F238E27FC236}">
                  <a16:creationId xmlns:a16="http://schemas.microsoft.com/office/drawing/2014/main" id="{00000000-0008-0000-0C00-000010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Veszélyes áru szállítási szakértő képesítés megszerzése (alapvizsga)szárazáru szállító hajóra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7</xdr:row>
          <xdr:rowOff>85725</xdr:rowOff>
        </xdr:from>
        <xdr:to>
          <xdr:col>8</xdr:col>
          <xdr:colOff>304800</xdr:colOff>
          <xdr:row>8</xdr:row>
          <xdr:rowOff>114300</xdr:rowOff>
        </xdr:to>
        <xdr:sp macro="" textlink="">
          <xdr:nvSpPr>
            <xdr:cNvPr id="28689" name="Option Button 17" hidden="1">
              <a:extLst>
                <a:ext uri="{63B3BB69-23CF-44E3-9099-C40C66FF867C}">
                  <a14:compatExt spid="_x0000_s28689"/>
                </a:ext>
                <a:ext uri="{FF2B5EF4-FFF2-40B4-BE49-F238E27FC236}">
                  <a16:creationId xmlns:a16="http://schemas.microsoft.com/office/drawing/2014/main" id="{00000000-0008-0000-0C00-00001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Ismeretfelújító tartályhajóra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8</xdr:row>
          <xdr:rowOff>95250</xdr:rowOff>
        </xdr:from>
        <xdr:to>
          <xdr:col>8</xdr:col>
          <xdr:colOff>238125</xdr:colOff>
          <xdr:row>9</xdr:row>
          <xdr:rowOff>123825</xdr:rowOff>
        </xdr:to>
        <xdr:sp macro="" textlink="">
          <xdr:nvSpPr>
            <xdr:cNvPr id="28690" name="Option Button 18" hidden="1">
              <a:extLst>
                <a:ext uri="{63B3BB69-23CF-44E3-9099-C40C66FF867C}">
                  <a14:compatExt spid="_x0000_s28690"/>
                </a:ext>
                <a:ext uri="{FF2B5EF4-FFF2-40B4-BE49-F238E27FC236}">
                  <a16:creationId xmlns:a16="http://schemas.microsoft.com/office/drawing/2014/main" id="{00000000-0008-0000-0C00-00001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Ismeretfelújító szárazárú szállító hajóra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9</xdr:row>
          <xdr:rowOff>104775</xdr:rowOff>
        </xdr:from>
        <xdr:to>
          <xdr:col>8</xdr:col>
          <xdr:colOff>228600</xdr:colOff>
          <xdr:row>9</xdr:row>
          <xdr:rowOff>323850</xdr:rowOff>
        </xdr:to>
        <xdr:sp macro="" textlink="">
          <xdr:nvSpPr>
            <xdr:cNvPr id="28691" name="Option Button 19" hidden="1">
              <a:extLst>
                <a:ext uri="{63B3BB69-23CF-44E3-9099-C40C66FF867C}">
                  <a14:compatExt spid="_x0000_s28691"/>
                </a:ext>
                <a:ext uri="{FF2B5EF4-FFF2-40B4-BE49-F238E27FC236}">
                  <a16:creationId xmlns:a16="http://schemas.microsoft.com/office/drawing/2014/main" id="{00000000-0008-0000-0C00-000013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Ismeretfelújító tartályhajóra és szárazárú szállító hajóra (kombinált)</a:t>
              </a:r>
            </a:p>
          </xdr:txBody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0</xdr:rowOff>
        </xdr:from>
        <xdr:to>
          <xdr:col>7</xdr:col>
          <xdr:colOff>142875</xdr:colOff>
          <xdr:row>3</xdr:row>
          <xdr:rowOff>28575</xdr:rowOff>
        </xdr:to>
        <xdr:sp macro="" textlink="">
          <xdr:nvSpPr>
            <xdr:cNvPr id="32769" name="Check Box 1" hidden="1">
              <a:extLst>
                <a:ext uri="{63B3BB69-23CF-44E3-9099-C40C66FF867C}">
                  <a14:compatExt spid="_x0000_s32769"/>
                </a:ext>
                <a:ext uri="{FF2B5EF4-FFF2-40B4-BE49-F238E27FC236}">
                  <a16:creationId xmlns:a16="http://schemas.microsoft.com/office/drawing/2014/main" id="{00000000-0008-0000-0F00-000001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Hajózási vagy gépészeti szakképzésben szerzett képesítő bizonyítvány, vagy szervezett gépkezelői képzés elvégzésének igazolása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123825</xdr:rowOff>
        </xdr:from>
        <xdr:to>
          <xdr:col>9</xdr:col>
          <xdr:colOff>790575</xdr:colOff>
          <xdr:row>5</xdr:row>
          <xdr:rowOff>123825</xdr:rowOff>
        </xdr:to>
        <xdr:sp macro="" textlink="">
          <xdr:nvSpPr>
            <xdr:cNvPr id="32770" name="Check Box 2" hidden="1">
              <a:extLst>
                <a:ext uri="{63B3BB69-23CF-44E3-9099-C40C66FF867C}">
                  <a14:compatExt spid="_x0000_s32770"/>
                </a:ext>
                <a:ext uri="{FF2B5EF4-FFF2-40B4-BE49-F238E27FC236}">
                  <a16:creationId xmlns:a16="http://schemas.microsoft.com/office/drawing/2014/main" id="{00000000-0008-0000-0F00-000002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Villamossági szakképzésben szerzett bizonyítvány valamint felsőoktatásban szerzett képesítő bizonyítvány, oklevél (leckekönyv, vagy tanulmányi értesítő) bemutatása mellett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</xdr:row>
          <xdr:rowOff>161925</xdr:rowOff>
        </xdr:from>
        <xdr:to>
          <xdr:col>8</xdr:col>
          <xdr:colOff>647700</xdr:colOff>
          <xdr:row>7</xdr:row>
          <xdr:rowOff>66675</xdr:rowOff>
        </xdr:to>
        <xdr:sp macro="" textlink="">
          <xdr:nvSpPr>
            <xdr:cNvPr id="32771" name="Check Box 3" hidden="1">
              <a:extLst>
                <a:ext uri="{63B3BB69-23CF-44E3-9099-C40C66FF867C}">
                  <a14:compatExt spid="_x0000_s32771"/>
                </a:ext>
                <a:ext uri="{FF2B5EF4-FFF2-40B4-BE49-F238E27FC236}">
                  <a16:creationId xmlns:a16="http://schemas.microsoft.com/office/drawing/2014/main" id="{00000000-0008-0000-0F00-000003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Rendelkezik hajózási képesítéssel és iskolarendszerű képzésben, a vizsgatárgyból azonos, vagy magasabb szinten sikeres vizsgát tett (felmentési kérelem)</a:t>
              </a:r>
            </a:p>
          </xdr:txBody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6</xdr:col>
          <xdr:colOff>114300</xdr:colOff>
          <xdr:row>3</xdr:row>
          <xdr:rowOff>28575</xdr:rowOff>
        </xdr:to>
        <xdr:sp macro="" textlink="">
          <xdr:nvSpPr>
            <xdr:cNvPr id="34817" name="Check Box 1" hidden="1">
              <a:extLst>
                <a:ext uri="{63B3BB69-23CF-44E3-9099-C40C66FF867C}">
                  <a14:compatExt spid="_x0000_s34817"/>
                </a:ext>
                <a:ext uri="{FF2B5EF4-FFF2-40B4-BE49-F238E27FC236}">
                  <a16:creationId xmlns:a16="http://schemas.microsoft.com/office/drawing/2014/main" id="{00000000-0008-0000-1000-000001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hajózási vagy gépészeti szakképzésben szerzett képesítő bizonyítvány, vagy szervezett géptiszti képzés elvégzésének igazolása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171450</xdr:rowOff>
        </xdr:from>
        <xdr:to>
          <xdr:col>6</xdr:col>
          <xdr:colOff>114300</xdr:colOff>
          <xdr:row>5</xdr:row>
          <xdr:rowOff>9525</xdr:rowOff>
        </xdr:to>
        <xdr:sp macro="" textlink="">
          <xdr:nvSpPr>
            <xdr:cNvPr id="34819" name="Check Box 3" hidden="1">
              <a:extLst>
                <a:ext uri="{63B3BB69-23CF-44E3-9099-C40C66FF867C}">
                  <a14:compatExt spid="_x0000_s34819"/>
                </a:ext>
                <a:ext uri="{FF2B5EF4-FFF2-40B4-BE49-F238E27FC236}">
                  <a16:creationId xmlns:a16="http://schemas.microsoft.com/office/drawing/2014/main" id="{00000000-0008-0000-1000-000003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Tengerész géptiszti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180975</xdr:rowOff>
        </xdr:from>
        <xdr:to>
          <xdr:col>6</xdr:col>
          <xdr:colOff>114300</xdr:colOff>
          <xdr:row>4</xdr:row>
          <xdr:rowOff>19050</xdr:rowOff>
        </xdr:to>
        <xdr:sp macro="" textlink="">
          <xdr:nvSpPr>
            <xdr:cNvPr id="34820" name="Check Box 4" hidden="1">
              <a:extLst>
                <a:ext uri="{63B3BB69-23CF-44E3-9099-C40C66FF867C}">
                  <a14:compatExt spid="_x0000_s34820"/>
                </a:ext>
                <a:ext uri="{FF2B5EF4-FFF2-40B4-BE49-F238E27FC236}">
                  <a16:creationId xmlns:a16="http://schemas.microsoft.com/office/drawing/2014/main" id="{00000000-0008-0000-1000-000004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Villamossági szakképzésben, valamint felsőoktatásban szerzett képesítő bizonyítvány, oklevél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161925</xdr:rowOff>
        </xdr:from>
        <xdr:to>
          <xdr:col>9</xdr:col>
          <xdr:colOff>47625</xdr:colOff>
          <xdr:row>6</xdr:row>
          <xdr:rowOff>66675</xdr:rowOff>
        </xdr:to>
        <xdr:sp macro="" textlink="">
          <xdr:nvSpPr>
            <xdr:cNvPr id="34822" name="Check Box 6" hidden="1">
              <a:extLst>
                <a:ext uri="{63B3BB69-23CF-44E3-9099-C40C66FF867C}">
                  <a14:compatExt spid="_x0000_s34822"/>
                </a:ext>
                <a:ext uri="{FF2B5EF4-FFF2-40B4-BE49-F238E27FC236}">
                  <a16:creationId xmlns:a16="http://schemas.microsoft.com/office/drawing/2014/main" id="{00000000-0008-0000-1000-000006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Rendelkezik hajózási képesítéssel és iskolarendszerű képzésben, a vizsgatárgyból azonos, vagy magasabb szinten sikeres vizsgát tett (felmentési kérelem)</a:t>
              </a:r>
            </a:p>
          </xdr:txBody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0</xdr:rowOff>
        </xdr:from>
        <xdr:to>
          <xdr:col>8</xdr:col>
          <xdr:colOff>542925</xdr:colOff>
          <xdr:row>3</xdr:row>
          <xdr:rowOff>9525</xdr:rowOff>
        </xdr:to>
        <xdr:sp macro="" textlink="">
          <xdr:nvSpPr>
            <xdr:cNvPr id="91137" name="Check Box 1" hidden="1">
              <a:extLst>
                <a:ext uri="{63B3BB69-23CF-44E3-9099-C40C66FF867C}">
                  <a14:compatExt spid="_x0000_s91137"/>
                </a:ext>
                <a:ext uri="{FF2B5EF4-FFF2-40B4-BE49-F238E27FC236}">
                  <a16:creationId xmlns:a16="http://schemas.microsoft.com/office/drawing/2014/main" id="{00000000-0008-0000-1100-0000016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hajózási vagy gépészeti szakképzésben szerzett képesítő bizonyítvány, vagy szervezett gépkezelői képzés elvégzésének igazolása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180975</xdr:rowOff>
        </xdr:from>
        <xdr:to>
          <xdr:col>7</xdr:col>
          <xdr:colOff>819150</xdr:colOff>
          <xdr:row>5</xdr:row>
          <xdr:rowOff>19050</xdr:rowOff>
        </xdr:to>
        <xdr:sp macro="" textlink="">
          <xdr:nvSpPr>
            <xdr:cNvPr id="91138" name="Check Box 2" hidden="1">
              <a:extLst>
                <a:ext uri="{63B3BB69-23CF-44E3-9099-C40C66FF867C}">
                  <a14:compatExt spid="_x0000_s91138"/>
                </a:ext>
                <a:ext uri="{FF2B5EF4-FFF2-40B4-BE49-F238E27FC236}">
                  <a16:creationId xmlns:a16="http://schemas.microsoft.com/office/drawing/2014/main" id="{00000000-0008-0000-1100-0000026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Érvényes tengerész géptiszti vagy belvízi géptiszti képesítés vagy 2022. január 18. előtt kiadott belvízi gépkezelői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0</xdr:rowOff>
        </xdr:from>
        <xdr:to>
          <xdr:col>7</xdr:col>
          <xdr:colOff>828675</xdr:colOff>
          <xdr:row>4</xdr:row>
          <xdr:rowOff>28575</xdr:rowOff>
        </xdr:to>
        <xdr:sp macro="" textlink="">
          <xdr:nvSpPr>
            <xdr:cNvPr id="91139" name="Check Box 3" hidden="1">
              <a:extLst>
                <a:ext uri="{63B3BB69-23CF-44E3-9099-C40C66FF867C}">
                  <a14:compatExt spid="_x0000_s91139"/>
                </a:ext>
                <a:ext uri="{FF2B5EF4-FFF2-40B4-BE49-F238E27FC236}">
                  <a16:creationId xmlns:a16="http://schemas.microsoft.com/office/drawing/2014/main" id="{00000000-0008-0000-1100-0000036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villamossági szakképzésben, valamint felsőoktatásban szerzett képesítő bizonyítvány, oklevél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180975</xdr:rowOff>
        </xdr:from>
        <xdr:to>
          <xdr:col>7</xdr:col>
          <xdr:colOff>819150</xdr:colOff>
          <xdr:row>6</xdr:row>
          <xdr:rowOff>19050</xdr:rowOff>
        </xdr:to>
        <xdr:sp macro="" textlink="">
          <xdr:nvSpPr>
            <xdr:cNvPr id="91140" name="Check Box 4" hidden="1">
              <a:extLst>
                <a:ext uri="{63B3BB69-23CF-44E3-9099-C40C66FF867C}">
                  <a14:compatExt spid="_x0000_s91140"/>
                </a:ext>
                <a:ext uri="{FF2B5EF4-FFF2-40B4-BE49-F238E27FC236}">
                  <a16:creationId xmlns:a16="http://schemas.microsoft.com/office/drawing/2014/main" id="{00000000-0008-0000-1100-0000046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2022. január 17. után kiadott belvízi gépkezelői képesítés</a:t>
              </a:r>
            </a:p>
          </xdr:txBody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2</xdr:row>
          <xdr:rowOff>38100</xdr:rowOff>
        </xdr:from>
        <xdr:to>
          <xdr:col>10</xdr:col>
          <xdr:colOff>933450</xdr:colOff>
          <xdr:row>4</xdr:row>
          <xdr:rowOff>142875</xdr:rowOff>
        </xdr:to>
        <xdr:sp macro="" textlink="">
          <xdr:nvSpPr>
            <xdr:cNvPr id="113666" name="Check Box 2" hidden="1">
              <a:extLst>
                <a:ext uri="{63B3BB69-23CF-44E3-9099-C40C66FF867C}">
                  <a14:compatExt spid="_x0000_s113666"/>
                </a:ext>
                <a:ext uri="{FF2B5EF4-FFF2-40B4-BE49-F238E27FC236}">
                  <a16:creationId xmlns:a16="http://schemas.microsoft.com/office/drawing/2014/main" id="{00000000-0008-0000-1200-000002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Rendelkezik UNIÓS hajós szolgálati könyvvel</a:t>
              </a:r>
            </a:p>
          </xdr:txBody>
        </xdr:sp>
        <xdr:clientData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2</xdr:row>
          <xdr:rowOff>38100</xdr:rowOff>
        </xdr:from>
        <xdr:to>
          <xdr:col>10</xdr:col>
          <xdr:colOff>933450</xdr:colOff>
          <xdr:row>4</xdr:row>
          <xdr:rowOff>142875</xdr:rowOff>
        </xdr:to>
        <xdr:sp macro="" textlink="">
          <xdr:nvSpPr>
            <xdr:cNvPr id="114689" name="Check Box 1" hidden="1">
              <a:extLst>
                <a:ext uri="{63B3BB69-23CF-44E3-9099-C40C66FF867C}">
                  <a14:compatExt spid="_x0000_s114689"/>
                </a:ext>
                <a:ext uri="{FF2B5EF4-FFF2-40B4-BE49-F238E27FC236}">
                  <a16:creationId xmlns:a16="http://schemas.microsoft.com/office/drawing/2014/main" id="{00000000-0008-0000-1300-000001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Rendelkezik UNIÓS hajós szolgálati könyvvel</a:t>
              </a:r>
            </a:p>
          </xdr:txBody>
        </xdr:sp>
        <xdr:clientData/>
      </xdr:twoCellAnchor>
    </mc:Choice>
    <mc:Fallback/>
  </mc:AlternateContent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3</xdr:row>
          <xdr:rowOff>171450</xdr:rowOff>
        </xdr:from>
        <xdr:to>
          <xdr:col>6</xdr:col>
          <xdr:colOff>904875</xdr:colOff>
          <xdr:row>4</xdr:row>
          <xdr:rowOff>161925</xdr:rowOff>
        </xdr:to>
        <xdr:sp macro="" textlink="">
          <xdr:nvSpPr>
            <xdr:cNvPr id="119809" name="Check Box 1" hidden="1">
              <a:extLst>
                <a:ext uri="{63B3BB69-23CF-44E3-9099-C40C66FF867C}">
                  <a14:compatExt spid="_x0000_s119809"/>
                </a:ext>
                <a:ext uri="{FF2B5EF4-FFF2-40B4-BE49-F238E27FC236}">
                  <a16:creationId xmlns:a16="http://schemas.microsoft.com/office/drawing/2014/main" id="{00000000-0008-0000-1400-000001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Betöltött 18. életév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4</xdr:row>
          <xdr:rowOff>180975</xdr:rowOff>
        </xdr:from>
        <xdr:to>
          <xdr:col>8</xdr:col>
          <xdr:colOff>295275</xdr:colOff>
          <xdr:row>5</xdr:row>
          <xdr:rowOff>200025</xdr:rowOff>
        </xdr:to>
        <xdr:sp macro="" textlink="">
          <xdr:nvSpPr>
            <xdr:cNvPr id="119810" name="Check Box 2" hidden="1">
              <a:extLst>
                <a:ext uri="{63B3BB69-23CF-44E3-9099-C40C66FF867C}">
                  <a14:compatExt spid="_x0000_s119810"/>
                </a:ext>
                <a:ext uri="{FF2B5EF4-FFF2-40B4-BE49-F238E27FC236}">
                  <a16:creationId xmlns:a16="http://schemas.microsoft.com/office/drawing/2014/main" id="{00000000-0008-0000-1400-000002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legalább ötéves, a jóváhagyott képzési programra történő jelentkezés előtt szerzett munkatapasztalattal rendelkezik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6</xdr:row>
          <xdr:rowOff>9525</xdr:rowOff>
        </xdr:from>
        <xdr:to>
          <xdr:col>8</xdr:col>
          <xdr:colOff>571500</xdr:colOff>
          <xdr:row>6</xdr:row>
          <xdr:rowOff>276225</xdr:rowOff>
        </xdr:to>
        <xdr:sp macro="" textlink="">
          <xdr:nvSpPr>
            <xdr:cNvPr id="119812" name="Check Box 4" hidden="1">
              <a:extLst>
                <a:ext uri="{63B3BB69-23CF-44E3-9099-C40C66FF867C}">
                  <a14:compatExt spid="_x0000_s119812"/>
                </a:ext>
                <a:ext uri="{FF2B5EF4-FFF2-40B4-BE49-F238E27FC236}">
                  <a16:creationId xmlns:a16="http://schemas.microsoft.com/office/drawing/2014/main" id="{00000000-0008-0000-1400-000004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egy képzési programra történő jelentkezést megelőzően, tengeri hajón, a fedélzeti személyzet tagjaként legalább 500 nap munkatapasztalatot szerzett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7</xdr:row>
          <xdr:rowOff>9525</xdr:rowOff>
        </xdr:from>
        <xdr:to>
          <xdr:col>8</xdr:col>
          <xdr:colOff>295275</xdr:colOff>
          <xdr:row>8</xdr:row>
          <xdr:rowOff>47625</xdr:rowOff>
        </xdr:to>
        <xdr:sp macro="" textlink="">
          <xdr:nvSpPr>
            <xdr:cNvPr id="119813" name="Check Box 5" hidden="1">
              <a:extLst>
                <a:ext uri="{63B3BB69-23CF-44E3-9099-C40C66FF867C}">
                  <a14:compatExt spid="_x0000_s119813"/>
                </a:ext>
                <a:ext uri="{FF2B5EF4-FFF2-40B4-BE49-F238E27FC236}">
                  <a16:creationId xmlns:a16="http://schemas.microsoft.com/office/drawing/2014/main" id="{00000000-0008-0000-1400-000005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egy jóváhagyott képzési programra történő jelentkezést megelőzően, legalább hároméves időtartamú szakképzési programot végzett el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8</xdr:row>
          <xdr:rowOff>76200</xdr:rowOff>
        </xdr:from>
        <xdr:to>
          <xdr:col>8</xdr:col>
          <xdr:colOff>847725</xdr:colOff>
          <xdr:row>9</xdr:row>
          <xdr:rowOff>133350</xdr:rowOff>
        </xdr:to>
        <xdr:sp macro="" textlink="">
          <xdr:nvSpPr>
            <xdr:cNvPr id="119815" name="Check Box 7" hidden="1">
              <a:extLst>
                <a:ext uri="{63B3BB69-23CF-44E3-9099-C40C66FF867C}">
                  <a14:compatExt spid="_x0000_s119815"/>
                </a:ext>
                <a:ext uri="{FF2B5EF4-FFF2-40B4-BE49-F238E27FC236}">
                  <a16:creationId xmlns:a16="http://schemas.microsoft.com/office/drawing/2014/main" id="{00000000-0008-0000-1400-000007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Rendelkezik 2022. január 18. napját megelőzően megszerzett matróz képesítéssel és 540 nap, ebből legalább 180 nap belvízi hajózási idővel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10</xdr:row>
          <xdr:rowOff>200025</xdr:rowOff>
        </xdr:from>
        <xdr:to>
          <xdr:col>8</xdr:col>
          <xdr:colOff>571500</xdr:colOff>
          <xdr:row>11</xdr:row>
          <xdr:rowOff>257175</xdr:rowOff>
        </xdr:to>
        <xdr:sp macro="" textlink="">
          <xdr:nvSpPr>
            <xdr:cNvPr id="119818" name="Check Box 10" hidden="1">
              <a:extLst>
                <a:ext uri="{63B3BB69-23CF-44E3-9099-C40C66FF867C}">
                  <a14:compatExt spid="_x0000_s119818"/>
                </a:ext>
                <a:ext uri="{FF2B5EF4-FFF2-40B4-BE49-F238E27FC236}">
                  <a16:creationId xmlns:a16="http://schemas.microsoft.com/office/drawing/2014/main" id="{00000000-0008-0000-1400-00000A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"Az úszástudás mentési célból történő alkalmazásának demonstrálása gyakorlati kompetenciák" vizsgatárgy kompetenciafelmérését sikeres eredménnyel, előzőleg elvégezte.</a:t>
              </a:r>
            </a:p>
          </xdr:txBody>
        </xdr:sp>
        <xdr:clientData/>
      </xdr:twoCellAnchor>
    </mc:Choice>
    <mc:Fallback/>
  </mc:AlternateContent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3</xdr:row>
          <xdr:rowOff>171450</xdr:rowOff>
        </xdr:from>
        <xdr:to>
          <xdr:col>6</xdr:col>
          <xdr:colOff>904875</xdr:colOff>
          <xdr:row>5</xdr:row>
          <xdr:rowOff>9525</xdr:rowOff>
        </xdr:to>
        <xdr:sp macro="" textlink="">
          <xdr:nvSpPr>
            <xdr:cNvPr id="121857" name="Check Box 1" hidden="1">
              <a:extLst>
                <a:ext uri="{63B3BB69-23CF-44E3-9099-C40C66FF867C}">
                  <a14:compatExt spid="_x0000_s121857"/>
                </a:ext>
                <a:ext uri="{FF2B5EF4-FFF2-40B4-BE49-F238E27FC236}">
                  <a16:creationId xmlns:a16="http://schemas.microsoft.com/office/drawing/2014/main" id="{00000000-0008-0000-1500-000001D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UNIÓs matróz képesítéssel rendelkezik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4</xdr:row>
          <xdr:rowOff>161925</xdr:rowOff>
        </xdr:from>
        <xdr:to>
          <xdr:col>8</xdr:col>
          <xdr:colOff>704850</xdr:colOff>
          <xdr:row>6</xdr:row>
          <xdr:rowOff>171450</xdr:rowOff>
        </xdr:to>
        <xdr:sp macro="" textlink="">
          <xdr:nvSpPr>
            <xdr:cNvPr id="121861" name="Check Box 5" hidden="1">
              <a:extLst>
                <a:ext uri="{63B3BB69-23CF-44E3-9099-C40C66FF867C}">
                  <a14:compatExt spid="_x0000_s121861"/>
                </a:ext>
                <a:ext uri="{FF2B5EF4-FFF2-40B4-BE49-F238E27FC236}">
                  <a16:creationId xmlns:a16="http://schemas.microsoft.com/office/drawing/2014/main" id="{00000000-0008-0000-1500-000005D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2022. január 18. napja előtt megszerzett képesített matróz képesítéssel rendelkezik és teljesített 900 nap hajózási időt, ebből legalább 540 napot belvízi hajózásban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8</xdr:row>
          <xdr:rowOff>209550</xdr:rowOff>
        </xdr:from>
        <xdr:to>
          <xdr:col>8</xdr:col>
          <xdr:colOff>695325</xdr:colOff>
          <xdr:row>10</xdr:row>
          <xdr:rowOff>114300</xdr:rowOff>
        </xdr:to>
        <xdr:sp macro="" textlink="">
          <xdr:nvSpPr>
            <xdr:cNvPr id="121867" name="Check Box 11" hidden="1">
              <a:extLst>
                <a:ext uri="{63B3BB69-23CF-44E3-9099-C40C66FF867C}">
                  <a14:compatExt spid="_x0000_s121867"/>
                </a:ext>
                <a:ext uri="{FF2B5EF4-FFF2-40B4-BE49-F238E27FC236}">
                  <a16:creationId xmlns:a16="http://schemas.microsoft.com/office/drawing/2014/main" id="{00000000-0008-0000-1500-00000BD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"Vízből mentés" vizsgatárgy kompetenciafelmérését sikeres eredménnyel, előzőleg elvégezte.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3</xdr:row>
          <xdr:rowOff>152400</xdr:rowOff>
        </xdr:from>
        <xdr:to>
          <xdr:col>8</xdr:col>
          <xdr:colOff>466725</xdr:colOff>
          <xdr:row>5</xdr:row>
          <xdr:rowOff>9525</xdr:rowOff>
        </xdr:to>
        <xdr:sp macro="" textlink="">
          <xdr:nvSpPr>
            <xdr:cNvPr id="87041" name="Check Box 1" hidden="1">
              <a:extLst>
                <a:ext uri="{63B3BB69-23CF-44E3-9099-C40C66FF867C}">
                  <a14:compatExt spid="_x0000_s87041"/>
                </a:ext>
                <a:ext uri="{FF2B5EF4-FFF2-40B4-BE49-F238E27FC236}">
                  <a16:creationId xmlns:a16="http://schemas.microsoft.com/office/drawing/2014/main" id="{00000000-0008-0000-0200-000001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Betöltött 18. életév</a:t>
              </a:r>
            </a:p>
          </xdr:txBody>
        </xdr:sp>
        <xdr:clientData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3</xdr:row>
          <xdr:rowOff>104775</xdr:rowOff>
        </xdr:from>
        <xdr:to>
          <xdr:col>6</xdr:col>
          <xdr:colOff>904875</xdr:colOff>
          <xdr:row>4</xdr:row>
          <xdr:rowOff>161925</xdr:rowOff>
        </xdr:to>
        <xdr:sp macro="" textlink="">
          <xdr:nvSpPr>
            <xdr:cNvPr id="122881" name="Check Box 1" hidden="1">
              <a:extLst>
                <a:ext uri="{63B3BB69-23CF-44E3-9099-C40C66FF867C}">
                  <a14:compatExt spid="_x0000_s122881"/>
                </a:ext>
                <a:ext uri="{FF2B5EF4-FFF2-40B4-BE49-F238E27FC236}">
                  <a16:creationId xmlns:a16="http://schemas.microsoft.com/office/drawing/2014/main" id="{00000000-0008-0000-1600-000001E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UNIÓs képesített matróz képesítéssel rendelkezik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4</xdr:row>
          <xdr:rowOff>171450</xdr:rowOff>
        </xdr:from>
        <xdr:to>
          <xdr:col>7</xdr:col>
          <xdr:colOff>0</xdr:colOff>
          <xdr:row>6</xdr:row>
          <xdr:rowOff>9525</xdr:rowOff>
        </xdr:to>
        <xdr:sp macro="" textlink="">
          <xdr:nvSpPr>
            <xdr:cNvPr id="122882" name="Check Box 2" hidden="1">
              <a:extLst>
                <a:ext uri="{63B3BB69-23CF-44E3-9099-C40C66FF867C}">
                  <a14:compatExt spid="_x0000_s122882"/>
                </a:ext>
                <a:ext uri="{FF2B5EF4-FFF2-40B4-BE49-F238E27FC236}">
                  <a16:creationId xmlns:a16="http://schemas.microsoft.com/office/drawing/2014/main" id="{00000000-0008-0000-1600-000002E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Legalább 500 nap munkatapasztalattal rendelkezik tengeri hajó parancsnokaként betöltött szolgálatban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5</xdr:row>
          <xdr:rowOff>190500</xdr:rowOff>
        </xdr:from>
        <xdr:to>
          <xdr:col>8</xdr:col>
          <xdr:colOff>742950</xdr:colOff>
          <xdr:row>7</xdr:row>
          <xdr:rowOff>209550</xdr:rowOff>
        </xdr:to>
        <xdr:sp macro="" textlink="">
          <xdr:nvSpPr>
            <xdr:cNvPr id="122883" name="Check Box 3" hidden="1">
              <a:extLst>
                <a:ext uri="{63B3BB69-23CF-44E3-9099-C40C66FF867C}">
                  <a14:compatExt spid="_x0000_s122883"/>
                </a:ext>
                <a:ext uri="{FF2B5EF4-FFF2-40B4-BE49-F238E27FC236}">
                  <a16:creationId xmlns:a16="http://schemas.microsoft.com/office/drawing/2014/main" id="{00000000-0008-0000-1600-000003E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Rendelkezik 2022. január 18. napja előtt megszerzett kormányos képesítéssel és 1080 nap hajózási időt teljesített, ebből legalább 720 napot belvízi hajózásban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10</xdr:row>
          <xdr:rowOff>114300</xdr:rowOff>
        </xdr:from>
        <xdr:to>
          <xdr:col>8</xdr:col>
          <xdr:colOff>695325</xdr:colOff>
          <xdr:row>12</xdr:row>
          <xdr:rowOff>28575</xdr:rowOff>
        </xdr:to>
        <xdr:sp macro="" textlink="">
          <xdr:nvSpPr>
            <xdr:cNvPr id="122885" name="Check Box 5" hidden="1">
              <a:extLst>
                <a:ext uri="{63B3BB69-23CF-44E3-9099-C40C66FF867C}">
                  <a14:compatExt spid="_x0000_s122885"/>
                </a:ext>
                <a:ext uri="{FF2B5EF4-FFF2-40B4-BE49-F238E27FC236}">
                  <a16:creationId xmlns:a16="http://schemas.microsoft.com/office/drawing/2014/main" id="{00000000-0008-0000-1600-000005E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"Vízből mentés" vizsgatárgy kompetenciafelmérését sikeres eredménnyel, előzőleg elvégezte.</a:t>
              </a:r>
            </a:p>
          </xdr:txBody>
        </xdr:sp>
        <xdr:clientData/>
      </xdr:twoCellAnchor>
    </mc:Choice>
    <mc:Fallback/>
  </mc:AlternateContent>
</xdr:wsDr>
</file>

<file path=xl/drawings/drawing2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5</xdr:row>
          <xdr:rowOff>0</xdr:rowOff>
        </xdr:from>
        <xdr:to>
          <xdr:col>6</xdr:col>
          <xdr:colOff>571500</xdr:colOff>
          <xdr:row>6</xdr:row>
          <xdr:rowOff>57150</xdr:rowOff>
        </xdr:to>
        <xdr:sp macro="" textlink="">
          <xdr:nvSpPr>
            <xdr:cNvPr id="142337" name="Check Box 1" hidden="1">
              <a:extLst>
                <a:ext uri="{63B3BB69-23CF-44E3-9099-C40C66FF867C}">
                  <a14:compatExt spid="_x0000_s142337"/>
                </a:ext>
                <a:ext uri="{FF2B5EF4-FFF2-40B4-BE49-F238E27FC236}">
                  <a16:creationId xmlns:a16="http://schemas.microsoft.com/office/drawing/2014/main" id="{00000000-0008-0000-1700-000001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Rendelkezik "C" kategóriájú hajóvezetői képesítéssel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7</xdr:row>
          <xdr:rowOff>38100</xdr:rowOff>
        </xdr:from>
        <xdr:to>
          <xdr:col>9</xdr:col>
          <xdr:colOff>800100</xdr:colOff>
          <xdr:row>8</xdr:row>
          <xdr:rowOff>123825</xdr:rowOff>
        </xdr:to>
        <xdr:sp macro="" textlink="">
          <xdr:nvSpPr>
            <xdr:cNvPr id="142338" name="Check Box 2" hidden="1">
              <a:extLst>
                <a:ext uri="{63B3BB69-23CF-44E3-9099-C40C66FF867C}">
                  <a14:compatExt spid="_x0000_s142338"/>
                </a:ext>
                <a:ext uri="{FF2B5EF4-FFF2-40B4-BE49-F238E27FC236}">
                  <a16:creationId xmlns:a16="http://schemas.microsoft.com/office/drawing/2014/main" id="{00000000-0008-0000-1700-000002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Legalább három év időtartamú, az irányítási szintű kompetenciákra vonatkozó, jóváhagyott képzési programot végzett el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8</xdr:row>
          <xdr:rowOff>95250</xdr:rowOff>
        </xdr:from>
        <xdr:to>
          <xdr:col>9</xdr:col>
          <xdr:colOff>771525</xdr:colOff>
          <xdr:row>9</xdr:row>
          <xdr:rowOff>142875</xdr:rowOff>
        </xdr:to>
        <xdr:sp macro="" textlink="">
          <xdr:nvSpPr>
            <xdr:cNvPr id="142339" name="Check Box 3" hidden="1">
              <a:extLst>
                <a:ext uri="{63B3BB69-23CF-44E3-9099-C40C66FF867C}">
                  <a14:compatExt spid="_x0000_s142339"/>
                </a:ext>
                <a:ext uri="{FF2B5EF4-FFF2-40B4-BE49-F238E27FC236}">
                  <a16:creationId xmlns:a16="http://schemas.microsoft.com/office/drawing/2014/main" id="{00000000-0008-0000-1700-000003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Uniós kormányosi képesítéssel vagy más elismert kormányosi képesítő bizonyítvánnyal rendelkezik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3</xdr:row>
          <xdr:rowOff>200025</xdr:rowOff>
        </xdr:from>
        <xdr:to>
          <xdr:col>7</xdr:col>
          <xdr:colOff>971550</xdr:colOff>
          <xdr:row>5</xdr:row>
          <xdr:rowOff>38100</xdr:rowOff>
        </xdr:to>
        <xdr:sp macro="" textlink="">
          <xdr:nvSpPr>
            <xdr:cNvPr id="142343" name="Check Box 7" hidden="1">
              <a:extLst>
                <a:ext uri="{63B3BB69-23CF-44E3-9099-C40C66FF867C}">
                  <a14:compatExt spid="_x0000_s142343"/>
                </a:ext>
                <a:ext uri="{FF2B5EF4-FFF2-40B4-BE49-F238E27FC236}">
                  <a16:creationId xmlns:a16="http://schemas.microsoft.com/office/drawing/2014/main" id="{00000000-0008-0000-1700-000007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Rendelkezik 2022. január 18. napját megelőzően megszerzett „C” kategóriájú hajóvezető képesítéssel és legalább két év nagyhajóvezetői szolgálattal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2</xdr:row>
          <xdr:rowOff>180975</xdr:rowOff>
        </xdr:from>
        <xdr:to>
          <xdr:col>6</xdr:col>
          <xdr:colOff>571500</xdr:colOff>
          <xdr:row>4</xdr:row>
          <xdr:rowOff>19050</xdr:rowOff>
        </xdr:to>
        <xdr:sp macro="" textlink="">
          <xdr:nvSpPr>
            <xdr:cNvPr id="142344" name="Check Box 8" hidden="1">
              <a:extLst>
                <a:ext uri="{63B3BB69-23CF-44E3-9099-C40C66FF867C}">
                  <a14:compatExt spid="_x0000_s142344"/>
                </a:ext>
                <a:ext uri="{FF2B5EF4-FFF2-40B4-BE49-F238E27FC236}">
                  <a16:creationId xmlns:a16="http://schemas.microsoft.com/office/drawing/2014/main" id="{00000000-0008-0000-1700-000008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Rendelkezik "A" vagy "B" kategóriájú hajóvezető képesítéssel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5</xdr:row>
          <xdr:rowOff>209550</xdr:rowOff>
        </xdr:from>
        <xdr:to>
          <xdr:col>9</xdr:col>
          <xdr:colOff>923925</xdr:colOff>
          <xdr:row>7</xdr:row>
          <xdr:rowOff>76200</xdr:rowOff>
        </xdr:to>
        <xdr:sp macro="" textlink="">
          <xdr:nvSpPr>
            <xdr:cNvPr id="142345" name="Check Box 9" hidden="1">
              <a:extLst>
                <a:ext uri="{63B3BB69-23CF-44E3-9099-C40C66FF867C}">
                  <a14:compatExt spid="_x0000_s142345"/>
                </a:ext>
                <a:ext uri="{FF2B5EF4-FFF2-40B4-BE49-F238E27FC236}">
                  <a16:creationId xmlns:a16="http://schemas.microsoft.com/office/drawing/2014/main" id="{00000000-0008-0000-1700-000009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Sikeresen vizsgát tett a Vizsgaközpontnál, vagy a képzési program keretében az üzemeltetési szintű kompetenciák felmérése során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15</xdr:row>
          <xdr:rowOff>219075</xdr:rowOff>
        </xdr:from>
        <xdr:to>
          <xdr:col>9</xdr:col>
          <xdr:colOff>723900</xdr:colOff>
          <xdr:row>16</xdr:row>
          <xdr:rowOff>161925</xdr:rowOff>
        </xdr:to>
        <xdr:sp macro="" textlink="">
          <xdr:nvSpPr>
            <xdr:cNvPr id="142348" name="Option Button 12" hidden="1">
              <a:extLst>
                <a:ext uri="{63B3BB69-23CF-44E3-9099-C40C66FF867C}">
                  <a14:compatExt spid="_x0000_s142348"/>
                </a:ext>
                <a:ext uri="{FF2B5EF4-FFF2-40B4-BE49-F238E27FC236}">
                  <a16:creationId xmlns:a16="http://schemas.microsoft.com/office/drawing/2014/main" id="{00000000-0008-0000-1700-00000C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Egy jóváhagyott képzési programra történő jelentkezést megelőzően megszerzett, legalább ötéves időtartamú munkatapasztalatot tud igazolni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17</xdr:row>
          <xdr:rowOff>47625</xdr:rowOff>
        </xdr:from>
        <xdr:to>
          <xdr:col>9</xdr:col>
          <xdr:colOff>733425</xdr:colOff>
          <xdr:row>18</xdr:row>
          <xdr:rowOff>9525</xdr:rowOff>
        </xdr:to>
        <xdr:sp macro="" textlink="">
          <xdr:nvSpPr>
            <xdr:cNvPr id="142349" name="Option Button 13" hidden="1">
              <a:extLst>
                <a:ext uri="{63B3BB69-23CF-44E3-9099-C40C66FF867C}">
                  <a14:compatExt spid="_x0000_s142349"/>
                </a:ext>
                <a:ext uri="{FF2B5EF4-FFF2-40B4-BE49-F238E27FC236}">
                  <a16:creationId xmlns:a16="http://schemas.microsoft.com/office/drawing/2014/main" id="{00000000-0008-0000-1700-00000D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Egy képzési programra történő jelentkezést megelőzően, tengeri hajón, a fedélzeti személyzet tagjaként megszerzett, legalább 500 nap munkatapasztalatot igazol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18</xdr:row>
          <xdr:rowOff>104775</xdr:rowOff>
        </xdr:from>
        <xdr:to>
          <xdr:col>9</xdr:col>
          <xdr:colOff>733425</xdr:colOff>
          <xdr:row>19</xdr:row>
          <xdr:rowOff>47625</xdr:rowOff>
        </xdr:to>
        <xdr:sp macro="" textlink="">
          <xdr:nvSpPr>
            <xdr:cNvPr id="142350" name="Option Button 14" hidden="1">
              <a:extLst>
                <a:ext uri="{63B3BB69-23CF-44E3-9099-C40C66FF867C}">
                  <a14:compatExt spid="_x0000_s142350"/>
                </a:ext>
                <a:ext uri="{FF2B5EF4-FFF2-40B4-BE49-F238E27FC236}">
                  <a16:creationId xmlns:a16="http://schemas.microsoft.com/office/drawing/2014/main" id="{00000000-0008-0000-1700-00000E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Egy képzési programra történő jelentkezést megelőzően elvégzett, legalább három év időtartamú szakképzési program igazolása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14</xdr:row>
          <xdr:rowOff>171450</xdr:rowOff>
        </xdr:from>
        <xdr:to>
          <xdr:col>9</xdr:col>
          <xdr:colOff>723900</xdr:colOff>
          <xdr:row>15</xdr:row>
          <xdr:rowOff>114300</xdr:rowOff>
        </xdr:to>
        <xdr:sp macro="" textlink="">
          <xdr:nvSpPr>
            <xdr:cNvPr id="142351" name="Option Button 15" hidden="1">
              <a:extLst>
                <a:ext uri="{63B3BB69-23CF-44E3-9099-C40C66FF867C}">
                  <a14:compatExt spid="_x0000_s142351"/>
                </a:ext>
                <a:ext uri="{FF2B5EF4-FFF2-40B4-BE49-F238E27FC236}">
                  <a16:creationId xmlns:a16="http://schemas.microsoft.com/office/drawing/2014/main" id="{00000000-0008-0000-1700-00000F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Nincs további igazolás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9</xdr:row>
          <xdr:rowOff>123825</xdr:rowOff>
        </xdr:from>
        <xdr:to>
          <xdr:col>9</xdr:col>
          <xdr:colOff>781050</xdr:colOff>
          <xdr:row>10</xdr:row>
          <xdr:rowOff>171450</xdr:rowOff>
        </xdr:to>
        <xdr:sp macro="" textlink="">
          <xdr:nvSpPr>
            <xdr:cNvPr id="142352" name="Check Box 16" hidden="1">
              <a:extLst>
                <a:ext uri="{63B3BB69-23CF-44E3-9099-C40C66FF867C}">
                  <a14:compatExt spid="_x0000_s142352"/>
                </a:ext>
                <a:ext uri="{FF2B5EF4-FFF2-40B4-BE49-F238E27FC236}">
                  <a16:creationId xmlns:a16="http://schemas.microsoft.com/office/drawing/2014/main" id="{00000000-0008-0000-1700-000010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Révész "A" képesítő bizonyítvánnyal rendelkezik</a:t>
              </a:r>
            </a:p>
          </xdr:txBody>
        </xdr:sp>
        <xdr:clientData/>
      </xdr:twoCellAnchor>
    </mc:Choice>
    <mc:Fallback/>
  </mc:AlternateContent>
</xdr:wsDr>
</file>

<file path=xl/drawings/drawing2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4</xdr:row>
          <xdr:rowOff>180975</xdr:rowOff>
        </xdr:from>
        <xdr:to>
          <xdr:col>8</xdr:col>
          <xdr:colOff>266700</xdr:colOff>
          <xdr:row>5</xdr:row>
          <xdr:rowOff>142875</xdr:rowOff>
        </xdr:to>
        <xdr:sp macro="" textlink="">
          <xdr:nvSpPr>
            <xdr:cNvPr id="108546" name="Check Box 2" hidden="1">
              <a:extLst>
                <a:ext uri="{63B3BB69-23CF-44E3-9099-C40C66FF867C}">
                  <a14:compatExt spid="_x0000_s108546"/>
                </a:ext>
                <a:ext uri="{FF2B5EF4-FFF2-40B4-BE49-F238E27FC236}">
                  <a16:creationId xmlns:a16="http://schemas.microsoft.com/office/drawing/2014/main" id="{00000000-0008-0000-1800-000002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1880-1920 fkm közötti Duna szakasz (Bécsi Duna) vonalvizsgája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3</xdr:row>
          <xdr:rowOff>171450</xdr:rowOff>
        </xdr:from>
        <xdr:to>
          <xdr:col>8</xdr:col>
          <xdr:colOff>228600</xdr:colOff>
          <xdr:row>4</xdr:row>
          <xdr:rowOff>104775</xdr:rowOff>
        </xdr:to>
        <xdr:sp macro="" textlink="">
          <xdr:nvSpPr>
            <xdr:cNvPr id="108547" name="Check Box 3" hidden="1">
              <a:extLst>
                <a:ext uri="{63B3BB69-23CF-44E3-9099-C40C66FF867C}">
                  <a14:compatExt spid="_x0000_s108547"/>
                </a:ext>
                <a:ext uri="{FF2B5EF4-FFF2-40B4-BE49-F238E27FC236}">
                  <a16:creationId xmlns:a16="http://schemas.microsoft.com/office/drawing/2014/main" id="{00000000-0008-0000-1800-000003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2001-2036 fkm közötti Duna szakasz (Wachau) vonalvizsgája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2</xdr:row>
          <xdr:rowOff>161925</xdr:rowOff>
        </xdr:from>
        <xdr:to>
          <xdr:col>8</xdr:col>
          <xdr:colOff>304800</xdr:colOff>
          <xdr:row>3</xdr:row>
          <xdr:rowOff>95250</xdr:rowOff>
        </xdr:to>
        <xdr:sp macro="" textlink="">
          <xdr:nvSpPr>
            <xdr:cNvPr id="108551" name="Check Box 7" hidden="1">
              <a:extLst>
                <a:ext uri="{63B3BB69-23CF-44E3-9099-C40C66FF867C}">
                  <a14:compatExt spid="_x0000_s108551"/>
                </a:ext>
                <a:ext uri="{FF2B5EF4-FFF2-40B4-BE49-F238E27FC236}">
                  <a16:creationId xmlns:a16="http://schemas.microsoft.com/office/drawing/2014/main" id="{00000000-0008-0000-1800-000007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2074-2081 fkm közötti Duna szakasz (Struden) vonalvizsgája</a:t>
              </a:r>
            </a:p>
          </xdr:txBody>
        </xdr:sp>
        <xdr:clientData/>
      </xdr:twoCellAnchor>
    </mc:Choice>
    <mc:Fallback/>
  </mc:AlternateContent>
</xdr:wsDr>
</file>

<file path=xl/drawings/drawing2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447675</xdr:colOff>
          <xdr:row>6</xdr:row>
          <xdr:rowOff>209550</xdr:rowOff>
        </xdr:from>
        <xdr:to>
          <xdr:col>10</xdr:col>
          <xdr:colOff>104775</xdr:colOff>
          <xdr:row>7</xdr:row>
          <xdr:rowOff>171450</xdr:rowOff>
        </xdr:to>
        <xdr:sp macro="" textlink="">
          <xdr:nvSpPr>
            <xdr:cNvPr id="156673" name="Check Box 1" hidden="1">
              <a:extLst>
                <a:ext uri="{63B3BB69-23CF-44E3-9099-C40C66FF867C}">
                  <a14:compatExt spid="_x0000_s156673"/>
                </a:ext>
                <a:ext uri="{FF2B5EF4-FFF2-40B4-BE49-F238E27FC236}">
                  <a16:creationId xmlns:a16="http://schemas.microsoft.com/office/drawing/2014/main" id="{00000000-0008-0000-1900-000001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1640-1578 fkm közötti Duna szakasz vonalvizsgája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447675</xdr:colOff>
          <xdr:row>5</xdr:row>
          <xdr:rowOff>200025</xdr:rowOff>
        </xdr:from>
        <xdr:to>
          <xdr:col>10</xdr:col>
          <xdr:colOff>66675</xdr:colOff>
          <xdr:row>6</xdr:row>
          <xdr:rowOff>133350</xdr:rowOff>
        </xdr:to>
        <xdr:sp macro="" textlink="">
          <xdr:nvSpPr>
            <xdr:cNvPr id="156674" name="Check Box 2" hidden="1">
              <a:extLst>
                <a:ext uri="{63B3BB69-23CF-44E3-9099-C40C66FF867C}">
                  <a14:compatExt spid="_x0000_s156674"/>
                </a:ext>
                <a:ext uri="{FF2B5EF4-FFF2-40B4-BE49-F238E27FC236}">
                  <a16:creationId xmlns:a16="http://schemas.microsoft.com/office/drawing/2014/main" id="{00000000-0008-0000-1900-000002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1660-1640 fkm közötti Duna szakasz vonalvizsgája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447675</xdr:colOff>
          <xdr:row>4</xdr:row>
          <xdr:rowOff>180975</xdr:rowOff>
        </xdr:from>
        <xdr:to>
          <xdr:col>10</xdr:col>
          <xdr:colOff>142875</xdr:colOff>
          <xdr:row>5</xdr:row>
          <xdr:rowOff>114300</xdr:rowOff>
        </xdr:to>
        <xdr:sp macro="" textlink="">
          <xdr:nvSpPr>
            <xdr:cNvPr id="156675" name="Check Box 3" hidden="1">
              <a:extLst>
                <a:ext uri="{63B3BB69-23CF-44E3-9099-C40C66FF867C}">
                  <a14:compatExt spid="_x0000_s156675"/>
                </a:ext>
                <a:ext uri="{FF2B5EF4-FFF2-40B4-BE49-F238E27FC236}">
                  <a16:creationId xmlns:a16="http://schemas.microsoft.com/office/drawing/2014/main" id="{00000000-0008-0000-1900-000003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1708-1660 fkm közötti Duna szakasz vonalvizsgája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447675</xdr:colOff>
          <xdr:row>7</xdr:row>
          <xdr:rowOff>247650</xdr:rowOff>
        </xdr:from>
        <xdr:to>
          <xdr:col>10</xdr:col>
          <xdr:colOff>66675</xdr:colOff>
          <xdr:row>8</xdr:row>
          <xdr:rowOff>180975</xdr:rowOff>
        </xdr:to>
        <xdr:sp macro="" textlink="">
          <xdr:nvSpPr>
            <xdr:cNvPr id="156676" name="Check Box 4" hidden="1">
              <a:extLst>
                <a:ext uri="{63B3BB69-23CF-44E3-9099-C40C66FF867C}">
                  <a14:compatExt spid="_x0000_s156676"/>
                </a:ext>
                <a:ext uri="{FF2B5EF4-FFF2-40B4-BE49-F238E27FC236}">
                  <a16:creationId xmlns:a16="http://schemas.microsoft.com/office/drawing/2014/main" id="{00000000-0008-0000-1900-000004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1578-1479 fkm közötti Duna szakasz vonalvizsgája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447675</xdr:colOff>
          <xdr:row>8</xdr:row>
          <xdr:rowOff>257175</xdr:rowOff>
        </xdr:from>
        <xdr:to>
          <xdr:col>10</xdr:col>
          <xdr:colOff>66675</xdr:colOff>
          <xdr:row>9</xdr:row>
          <xdr:rowOff>190500</xdr:rowOff>
        </xdr:to>
        <xdr:sp macro="" textlink="">
          <xdr:nvSpPr>
            <xdr:cNvPr id="156677" name="Check Box 5" hidden="1">
              <a:extLst>
                <a:ext uri="{63B3BB69-23CF-44E3-9099-C40C66FF867C}">
                  <a14:compatExt spid="_x0000_s156677"/>
                </a:ext>
                <a:ext uri="{FF2B5EF4-FFF2-40B4-BE49-F238E27FC236}">
                  <a16:creationId xmlns:a16="http://schemas.microsoft.com/office/drawing/2014/main" id="{00000000-0008-0000-1900-000005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1479-1433 fkm közötti Duna szakasz vonalvizsgája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447675</xdr:colOff>
          <xdr:row>10</xdr:row>
          <xdr:rowOff>209550</xdr:rowOff>
        </xdr:from>
        <xdr:to>
          <xdr:col>10</xdr:col>
          <xdr:colOff>66675</xdr:colOff>
          <xdr:row>11</xdr:row>
          <xdr:rowOff>142875</xdr:rowOff>
        </xdr:to>
        <xdr:sp macro="" textlink="">
          <xdr:nvSpPr>
            <xdr:cNvPr id="156678" name="Check Box 6" hidden="1">
              <a:extLst>
                <a:ext uri="{63B3BB69-23CF-44E3-9099-C40C66FF867C}">
                  <a14:compatExt spid="_x0000_s156678"/>
                </a:ext>
                <a:ext uri="{FF2B5EF4-FFF2-40B4-BE49-F238E27FC236}">
                  <a16:creationId xmlns:a16="http://schemas.microsoft.com/office/drawing/2014/main" id="{00000000-0008-0000-1900-000006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403-333 fkm közötti Tisza szakasz vonalvizsgája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447675</xdr:colOff>
          <xdr:row>11</xdr:row>
          <xdr:rowOff>257175</xdr:rowOff>
        </xdr:from>
        <xdr:to>
          <xdr:col>10</xdr:col>
          <xdr:colOff>66675</xdr:colOff>
          <xdr:row>12</xdr:row>
          <xdr:rowOff>190500</xdr:rowOff>
        </xdr:to>
        <xdr:sp macro="" textlink="">
          <xdr:nvSpPr>
            <xdr:cNvPr id="156679" name="Check Box 7" hidden="1">
              <a:extLst>
                <a:ext uri="{63B3BB69-23CF-44E3-9099-C40C66FF867C}">
                  <a14:compatExt spid="_x0000_s156679"/>
                </a:ext>
                <a:ext uri="{FF2B5EF4-FFF2-40B4-BE49-F238E27FC236}">
                  <a16:creationId xmlns:a16="http://schemas.microsoft.com/office/drawing/2014/main" id="{00000000-0008-0000-1900-000007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333-255 fkm közötti Tisza szakasz vonalvizsgája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447675</xdr:colOff>
          <xdr:row>2</xdr:row>
          <xdr:rowOff>161925</xdr:rowOff>
        </xdr:from>
        <xdr:to>
          <xdr:col>10</xdr:col>
          <xdr:colOff>142875</xdr:colOff>
          <xdr:row>3</xdr:row>
          <xdr:rowOff>95250</xdr:rowOff>
        </xdr:to>
        <xdr:sp macro="" textlink="">
          <xdr:nvSpPr>
            <xdr:cNvPr id="156680" name="Check Box 8" hidden="1">
              <a:extLst>
                <a:ext uri="{63B3BB69-23CF-44E3-9099-C40C66FF867C}">
                  <a14:compatExt spid="_x0000_s156680"/>
                </a:ext>
                <a:ext uri="{FF2B5EF4-FFF2-40B4-BE49-F238E27FC236}">
                  <a16:creationId xmlns:a16="http://schemas.microsoft.com/office/drawing/2014/main" id="{00000000-0008-0000-1900-000008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1811-1766 fkm közötti Duna szakasz vonalvizsgája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447675</xdr:colOff>
          <xdr:row>3</xdr:row>
          <xdr:rowOff>171450</xdr:rowOff>
        </xdr:from>
        <xdr:to>
          <xdr:col>10</xdr:col>
          <xdr:colOff>142875</xdr:colOff>
          <xdr:row>4</xdr:row>
          <xdr:rowOff>104775</xdr:rowOff>
        </xdr:to>
        <xdr:sp macro="" textlink="">
          <xdr:nvSpPr>
            <xdr:cNvPr id="156681" name="Check Box 9" hidden="1">
              <a:extLst>
                <a:ext uri="{63B3BB69-23CF-44E3-9099-C40C66FF867C}">
                  <a14:compatExt spid="_x0000_s156681"/>
                </a:ext>
                <a:ext uri="{FF2B5EF4-FFF2-40B4-BE49-F238E27FC236}">
                  <a16:creationId xmlns:a16="http://schemas.microsoft.com/office/drawing/2014/main" id="{00000000-0008-0000-1900-000009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1766-1708 fkm közötti Duna szakasz vonalvizsgája</a:t>
              </a:r>
            </a:p>
          </xdr:txBody>
        </xdr:sp>
        <xdr:clientData/>
      </xdr:twoCellAnchor>
    </mc:Choice>
    <mc:Fallback/>
  </mc:AlternateContent>
</xdr:wsDr>
</file>

<file path=xl/drawings/drawing2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3</xdr:row>
          <xdr:rowOff>514350</xdr:rowOff>
        </xdr:from>
        <xdr:to>
          <xdr:col>8</xdr:col>
          <xdr:colOff>466725</xdr:colOff>
          <xdr:row>4</xdr:row>
          <xdr:rowOff>171450</xdr:rowOff>
        </xdr:to>
        <xdr:sp macro="" textlink="">
          <xdr:nvSpPr>
            <xdr:cNvPr id="150531" name="Check Box 3" hidden="1">
              <a:extLst>
                <a:ext uri="{63B3BB69-23CF-44E3-9099-C40C66FF867C}">
                  <a14:compatExt spid="_x0000_s150531"/>
                </a:ext>
                <a:ext uri="{FF2B5EF4-FFF2-40B4-BE49-F238E27FC236}">
                  <a16:creationId xmlns:a16="http://schemas.microsoft.com/office/drawing/2014/main" id="{00000000-0008-0000-1A00-000003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2249-2259 fkm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4</xdr:row>
          <xdr:rowOff>238125</xdr:rowOff>
        </xdr:from>
        <xdr:to>
          <xdr:col>8</xdr:col>
          <xdr:colOff>466725</xdr:colOff>
          <xdr:row>5</xdr:row>
          <xdr:rowOff>171450</xdr:rowOff>
        </xdr:to>
        <xdr:sp macro="" textlink="">
          <xdr:nvSpPr>
            <xdr:cNvPr id="150532" name="Check Box 4" hidden="1">
              <a:extLst>
                <a:ext uri="{63B3BB69-23CF-44E3-9099-C40C66FF867C}">
                  <a14:compatExt spid="_x0000_s150532"/>
                </a:ext>
                <a:ext uri="{FF2B5EF4-FFF2-40B4-BE49-F238E27FC236}">
                  <a16:creationId xmlns:a16="http://schemas.microsoft.com/office/drawing/2014/main" id="{00000000-0008-0000-1A00-000004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2259-2269 fkm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5</xdr:row>
          <xdr:rowOff>209550</xdr:rowOff>
        </xdr:from>
        <xdr:to>
          <xdr:col>8</xdr:col>
          <xdr:colOff>466725</xdr:colOff>
          <xdr:row>6</xdr:row>
          <xdr:rowOff>142875</xdr:rowOff>
        </xdr:to>
        <xdr:sp macro="" textlink="">
          <xdr:nvSpPr>
            <xdr:cNvPr id="150533" name="Check Box 5" hidden="1">
              <a:extLst>
                <a:ext uri="{63B3BB69-23CF-44E3-9099-C40C66FF867C}">
                  <a14:compatExt spid="_x0000_s150533"/>
                </a:ext>
                <a:ext uri="{FF2B5EF4-FFF2-40B4-BE49-F238E27FC236}">
                  <a16:creationId xmlns:a16="http://schemas.microsoft.com/office/drawing/2014/main" id="{00000000-0008-0000-1A00-000005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2269-2276 fkm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6</xdr:row>
          <xdr:rowOff>190500</xdr:rowOff>
        </xdr:from>
        <xdr:to>
          <xdr:col>8</xdr:col>
          <xdr:colOff>466725</xdr:colOff>
          <xdr:row>7</xdr:row>
          <xdr:rowOff>123825</xdr:rowOff>
        </xdr:to>
        <xdr:sp macro="" textlink="">
          <xdr:nvSpPr>
            <xdr:cNvPr id="150534" name="Check Box 6" hidden="1">
              <a:extLst>
                <a:ext uri="{63B3BB69-23CF-44E3-9099-C40C66FF867C}">
                  <a14:compatExt spid="_x0000_s150534"/>
                </a:ext>
                <a:ext uri="{FF2B5EF4-FFF2-40B4-BE49-F238E27FC236}">
                  <a16:creationId xmlns:a16="http://schemas.microsoft.com/office/drawing/2014/main" id="{00000000-0008-0000-1A00-000006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2276-2284 fkm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7</xdr:row>
          <xdr:rowOff>180975</xdr:rowOff>
        </xdr:from>
        <xdr:to>
          <xdr:col>8</xdr:col>
          <xdr:colOff>466725</xdr:colOff>
          <xdr:row>8</xdr:row>
          <xdr:rowOff>114300</xdr:rowOff>
        </xdr:to>
        <xdr:sp macro="" textlink="">
          <xdr:nvSpPr>
            <xdr:cNvPr id="150535" name="Check Box 7" hidden="1">
              <a:extLst>
                <a:ext uri="{63B3BB69-23CF-44E3-9099-C40C66FF867C}">
                  <a14:compatExt spid="_x0000_s150535"/>
                </a:ext>
                <a:ext uri="{FF2B5EF4-FFF2-40B4-BE49-F238E27FC236}">
                  <a16:creationId xmlns:a16="http://schemas.microsoft.com/office/drawing/2014/main" id="{00000000-0008-0000-1A00-000007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2284-2295 fkm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8</xdr:row>
          <xdr:rowOff>161925</xdr:rowOff>
        </xdr:from>
        <xdr:to>
          <xdr:col>8</xdr:col>
          <xdr:colOff>466725</xdr:colOff>
          <xdr:row>9</xdr:row>
          <xdr:rowOff>95250</xdr:rowOff>
        </xdr:to>
        <xdr:sp macro="" textlink="">
          <xdr:nvSpPr>
            <xdr:cNvPr id="150536" name="Check Box 8" hidden="1">
              <a:extLst>
                <a:ext uri="{63B3BB69-23CF-44E3-9099-C40C66FF867C}">
                  <a14:compatExt spid="_x0000_s150536"/>
                </a:ext>
                <a:ext uri="{FF2B5EF4-FFF2-40B4-BE49-F238E27FC236}">
                  <a16:creationId xmlns:a16="http://schemas.microsoft.com/office/drawing/2014/main" id="{00000000-0008-0000-1A00-000008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2295-2305 fkm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9</xdr:row>
          <xdr:rowOff>142875</xdr:rowOff>
        </xdr:from>
        <xdr:to>
          <xdr:col>8</xdr:col>
          <xdr:colOff>466725</xdr:colOff>
          <xdr:row>10</xdr:row>
          <xdr:rowOff>76200</xdr:rowOff>
        </xdr:to>
        <xdr:sp macro="" textlink="">
          <xdr:nvSpPr>
            <xdr:cNvPr id="150537" name="Check Box 9" hidden="1">
              <a:extLst>
                <a:ext uri="{63B3BB69-23CF-44E3-9099-C40C66FF867C}">
                  <a14:compatExt spid="_x0000_s150537"/>
                </a:ext>
                <a:ext uri="{FF2B5EF4-FFF2-40B4-BE49-F238E27FC236}">
                  <a16:creationId xmlns:a16="http://schemas.microsoft.com/office/drawing/2014/main" id="{00000000-0008-0000-1A00-000009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2305-2314 fkm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10</xdr:row>
          <xdr:rowOff>133350</xdr:rowOff>
        </xdr:from>
        <xdr:to>
          <xdr:col>8</xdr:col>
          <xdr:colOff>466725</xdr:colOff>
          <xdr:row>11</xdr:row>
          <xdr:rowOff>66675</xdr:rowOff>
        </xdr:to>
        <xdr:sp macro="" textlink="">
          <xdr:nvSpPr>
            <xdr:cNvPr id="150538" name="Check Box 10" hidden="1">
              <a:extLst>
                <a:ext uri="{63B3BB69-23CF-44E3-9099-C40C66FF867C}">
                  <a14:compatExt spid="_x0000_s150538"/>
                </a:ext>
                <a:ext uri="{FF2B5EF4-FFF2-40B4-BE49-F238E27FC236}">
                  <a16:creationId xmlns:a16="http://schemas.microsoft.com/office/drawing/2014/main" id="{00000000-0008-0000-1A00-00000A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2314-2322 fkm</a:t>
              </a:r>
            </a:p>
          </xdr:txBody>
        </xdr:sp>
        <xdr:clientData/>
      </xdr:twoCellAnchor>
    </mc:Choice>
    <mc:Fallback/>
  </mc:AlternateContent>
</xdr:wsDr>
</file>

<file path=xl/drawings/drawing2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3</xdr:row>
          <xdr:rowOff>514350</xdr:rowOff>
        </xdr:from>
        <xdr:to>
          <xdr:col>2</xdr:col>
          <xdr:colOff>361950</xdr:colOff>
          <xdr:row>5</xdr:row>
          <xdr:rowOff>95250</xdr:rowOff>
        </xdr:to>
        <xdr:sp macro="" textlink="">
          <xdr:nvSpPr>
            <xdr:cNvPr id="163841" name="Check Box 1" descr="Rajna: 335.66 - 425.00 fkm (Iffezheim - Mannheim)" hidden="1">
              <a:extLst>
                <a:ext uri="{63B3BB69-23CF-44E3-9099-C40C66FF867C}">
                  <a14:compatExt spid="_x0000_s163841"/>
                </a:ext>
                <a:ext uri="{FF2B5EF4-FFF2-40B4-BE49-F238E27FC236}">
                  <a16:creationId xmlns:a16="http://schemas.microsoft.com/office/drawing/2014/main" id="{00000000-0008-0000-1B00-000001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Rajna 335.66-425.00 fkm (Iffezheim - Mannheim) Rajna 498.45-592.00 fkm (Mainz - Koblenz)</a:t>
              </a:r>
            </a:p>
          </xdr:txBody>
        </xdr:sp>
        <xdr:clientData/>
      </xdr:twoCellAnchor>
    </mc:Choice>
    <mc:Fallback/>
  </mc:AlternateContent>
</xdr:wsDr>
</file>

<file path=xl/drawings/drawing2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3</xdr:row>
          <xdr:rowOff>152400</xdr:rowOff>
        </xdr:from>
        <xdr:to>
          <xdr:col>8</xdr:col>
          <xdr:colOff>666750</xdr:colOff>
          <xdr:row>6</xdr:row>
          <xdr:rowOff>9525</xdr:rowOff>
        </xdr:to>
        <xdr:sp macro="" textlink="">
          <xdr:nvSpPr>
            <xdr:cNvPr id="109571" name="Check Box 3" hidden="1">
              <a:extLst>
                <a:ext uri="{63B3BB69-23CF-44E3-9099-C40C66FF867C}">
                  <a14:compatExt spid="_x0000_s109571"/>
                </a:ext>
                <a:ext uri="{FF2B5EF4-FFF2-40B4-BE49-F238E27FC236}">
                  <a16:creationId xmlns:a16="http://schemas.microsoft.com/office/drawing/2014/main" id="{00000000-0008-0000-1C00-000003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"A" kategóriájú hajóvezető képesítés vagy 2010. december 31. napjáig a magyar hajózási hatóságnál megszerzett hajóskapitányi képesítés és dokumentummal igazolt hajóskapitányként ellátott szolgálat</a:t>
              </a:r>
            </a:p>
          </xdr:txBody>
        </xdr:sp>
        <xdr:clientData/>
      </xdr:twoCellAnchor>
    </mc:Choice>
    <mc:Fallback/>
  </mc:AlternateContent>
</xdr:wsDr>
</file>

<file path=xl/drawings/drawing2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2</xdr:row>
          <xdr:rowOff>190500</xdr:rowOff>
        </xdr:from>
        <xdr:to>
          <xdr:col>7</xdr:col>
          <xdr:colOff>295275</xdr:colOff>
          <xdr:row>5</xdr:row>
          <xdr:rowOff>47625</xdr:rowOff>
        </xdr:to>
        <xdr:sp macro="" textlink="">
          <xdr:nvSpPr>
            <xdr:cNvPr id="110597" name="Check Box 5" hidden="1">
              <a:extLst>
                <a:ext uri="{63B3BB69-23CF-44E3-9099-C40C66FF867C}">
                  <a14:compatExt spid="_x0000_s110597"/>
                </a:ext>
                <a:ext uri="{FF2B5EF4-FFF2-40B4-BE49-F238E27FC236}">
                  <a16:creationId xmlns:a16="http://schemas.microsoft.com/office/drawing/2014/main" id="{00000000-0008-0000-1D00-000005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2010. december 31. napjáig a magyar hajózási hatóságnál megszerzett hajóskapitányi képesítés és dokumentummal igazolt hajóskapitányként ellátott szolgálat</a:t>
              </a:r>
            </a:p>
          </xdr:txBody>
        </xdr:sp>
        <xdr:clientData/>
      </xdr:twoCellAnchor>
    </mc:Choice>
    <mc:Fallback/>
  </mc:AlternateContent>
</xdr:wsDr>
</file>

<file path=xl/drawings/drawing2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2</xdr:row>
          <xdr:rowOff>190500</xdr:rowOff>
        </xdr:from>
        <xdr:to>
          <xdr:col>8</xdr:col>
          <xdr:colOff>342900</xdr:colOff>
          <xdr:row>5</xdr:row>
          <xdr:rowOff>47625</xdr:rowOff>
        </xdr:to>
        <xdr:sp macro="" textlink="">
          <xdr:nvSpPr>
            <xdr:cNvPr id="129025" name="Check Box 1" hidden="1">
              <a:extLst>
                <a:ext uri="{63B3BB69-23CF-44E3-9099-C40C66FF867C}">
                  <a14:compatExt spid="_x0000_s129025"/>
                </a:ext>
                <a:ext uri="{FF2B5EF4-FFF2-40B4-BE49-F238E27FC236}">
                  <a16:creationId xmlns:a16="http://schemas.microsoft.com/office/drawing/2014/main" id="{00000000-0008-0000-1E00-000001F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"A" vagy "B" kategóriájú hajóvezető képesítés, vagy 2010. december 31. napjáig a magyar hajózási hatóságnál megszerzett hajóskapitányi képesítés és dokumentummal igazolt hajóskapitányként ellátott szolgálat</a:t>
              </a:r>
            </a:p>
          </xdr:txBody>
        </xdr:sp>
        <xdr:clientData/>
      </xdr:twoCellAnchor>
    </mc:Choice>
    <mc:Fallback/>
  </mc:AlternateContent>
</xdr:wsDr>
</file>

<file path=xl/drawings/drawing2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2</xdr:row>
          <xdr:rowOff>190500</xdr:rowOff>
        </xdr:from>
        <xdr:to>
          <xdr:col>8</xdr:col>
          <xdr:colOff>400050</xdr:colOff>
          <xdr:row>5</xdr:row>
          <xdr:rowOff>47625</xdr:rowOff>
        </xdr:to>
        <xdr:sp macro="" textlink="">
          <xdr:nvSpPr>
            <xdr:cNvPr id="132097" name="Check Box 1" hidden="1">
              <a:extLst>
                <a:ext uri="{63B3BB69-23CF-44E3-9099-C40C66FF867C}">
                  <a14:compatExt spid="_x0000_s132097"/>
                </a:ext>
                <a:ext uri="{FF2B5EF4-FFF2-40B4-BE49-F238E27FC236}">
                  <a16:creationId xmlns:a16="http://schemas.microsoft.com/office/drawing/2014/main" id="{00000000-0008-0000-1F00-000001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Jóváhagyott képzőszervnél elvégzett tanfolyam és sikeres vizsga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3</xdr:row>
          <xdr:rowOff>152400</xdr:rowOff>
        </xdr:from>
        <xdr:to>
          <xdr:col>8</xdr:col>
          <xdr:colOff>466725</xdr:colOff>
          <xdr:row>5</xdr:row>
          <xdr:rowOff>9525</xdr:rowOff>
        </xdr:to>
        <xdr:sp macro="" textlink="">
          <xdr:nvSpPr>
            <xdr:cNvPr id="89089" name="Check Box 1" hidden="1">
              <a:extLst>
                <a:ext uri="{63B3BB69-23CF-44E3-9099-C40C66FF867C}">
                  <a14:compatExt spid="_x0000_s89089"/>
                </a:ext>
                <a:ext uri="{FF2B5EF4-FFF2-40B4-BE49-F238E27FC236}">
                  <a16:creationId xmlns:a16="http://schemas.microsoft.com/office/drawing/2014/main" id="{00000000-0008-0000-0300-000001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Géptani alapismeretekkel rendelkezik</a:t>
              </a:r>
            </a:p>
          </xdr:txBody>
        </xdr:sp>
        <xdr:clientData/>
      </xdr:twoCellAnchor>
    </mc:Choice>
    <mc:Fallback/>
  </mc:AlternateContent>
</xdr:wsDr>
</file>

<file path=xl/drawings/drawing3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0</xdr:row>
          <xdr:rowOff>371475</xdr:rowOff>
        </xdr:from>
        <xdr:to>
          <xdr:col>1</xdr:col>
          <xdr:colOff>1600200</xdr:colOff>
          <xdr:row>2</xdr:row>
          <xdr:rowOff>9525</xdr:rowOff>
        </xdr:to>
        <xdr:sp macro="" textlink="">
          <xdr:nvSpPr>
            <xdr:cNvPr id="31745" name="Option Button 1" hidden="1">
              <a:extLst>
                <a:ext uri="{63B3BB69-23CF-44E3-9099-C40C66FF867C}">
                  <a14:compatExt spid="_x0000_s31745"/>
                </a:ext>
                <a:ext uri="{FF2B5EF4-FFF2-40B4-BE49-F238E27FC236}">
                  <a16:creationId xmlns:a16="http://schemas.microsoft.com/office/drawing/2014/main" id="{00000000-0008-0000-2000-000001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„A” kategóriájú hajóvezető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</xdr:row>
          <xdr:rowOff>180975</xdr:rowOff>
        </xdr:from>
        <xdr:to>
          <xdr:col>1</xdr:col>
          <xdr:colOff>1600200</xdr:colOff>
          <xdr:row>3</xdr:row>
          <xdr:rowOff>9525</xdr:rowOff>
        </xdr:to>
        <xdr:sp macro="" textlink="">
          <xdr:nvSpPr>
            <xdr:cNvPr id="31799" name="Option Button 55" hidden="1">
              <a:extLst>
                <a:ext uri="{63B3BB69-23CF-44E3-9099-C40C66FF867C}">
                  <a14:compatExt spid="_x0000_s31799"/>
                </a:ext>
                <a:ext uri="{FF2B5EF4-FFF2-40B4-BE49-F238E27FC236}">
                  <a16:creationId xmlns:a16="http://schemas.microsoft.com/office/drawing/2014/main" id="{00000000-0008-0000-2000-000037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„B” kategóriájú hajóvezető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180975</xdr:rowOff>
        </xdr:from>
        <xdr:to>
          <xdr:col>1</xdr:col>
          <xdr:colOff>1600200</xdr:colOff>
          <xdr:row>4</xdr:row>
          <xdr:rowOff>28575</xdr:rowOff>
        </xdr:to>
        <xdr:sp macro="" textlink="">
          <xdr:nvSpPr>
            <xdr:cNvPr id="31800" name="Option Button 56" hidden="1">
              <a:extLst>
                <a:ext uri="{63B3BB69-23CF-44E3-9099-C40C66FF867C}">
                  <a14:compatExt spid="_x0000_s31800"/>
                </a:ext>
                <a:ext uri="{FF2B5EF4-FFF2-40B4-BE49-F238E27FC236}">
                  <a16:creationId xmlns:a16="http://schemas.microsoft.com/office/drawing/2014/main" id="{00000000-0008-0000-2000-000038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„C” kategóriájú hajóvezető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180975</xdr:rowOff>
        </xdr:from>
        <xdr:to>
          <xdr:col>1</xdr:col>
          <xdr:colOff>1600200</xdr:colOff>
          <xdr:row>5</xdr:row>
          <xdr:rowOff>28575</xdr:rowOff>
        </xdr:to>
        <xdr:sp macro="" textlink="">
          <xdr:nvSpPr>
            <xdr:cNvPr id="31801" name="Option Button 57" hidden="1">
              <a:extLst>
                <a:ext uri="{63B3BB69-23CF-44E3-9099-C40C66FF867C}">
                  <a14:compatExt spid="_x0000_s31801"/>
                </a:ext>
                <a:ext uri="{FF2B5EF4-FFF2-40B4-BE49-F238E27FC236}">
                  <a16:creationId xmlns:a16="http://schemas.microsoft.com/office/drawing/2014/main" id="{00000000-0008-0000-2000-000039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Szolgálati hajóvezető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180975</xdr:rowOff>
        </xdr:from>
        <xdr:to>
          <xdr:col>1</xdr:col>
          <xdr:colOff>2533650</xdr:colOff>
          <xdr:row>6</xdr:row>
          <xdr:rowOff>47625</xdr:rowOff>
        </xdr:to>
        <xdr:sp macro="" textlink="">
          <xdr:nvSpPr>
            <xdr:cNvPr id="31802" name="Option Button 58" hidden="1">
              <a:extLst>
                <a:ext uri="{63B3BB69-23CF-44E3-9099-C40C66FF867C}">
                  <a14:compatExt spid="_x0000_s31802"/>
                </a:ext>
                <a:ext uri="{FF2B5EF4-FFF2-40B4-BE49-F238E27FC236}">
                  <a16:creationId xmlns:a16="http://schemas.microsoft.com/office/drawing/2014/main" id="{00000000-0008-0000-2000-00003A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Hivatásos kisgéphajó vezető „A”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</xdr:row>
          <xdr:rowOff>180975</xdr:rowOff>
        </xdr:from>
        <xdr:to>
          <xdr:col>1</xdr:col>
          <xdr:colOff>1600200</xdr:colOff>
          <xdr:row>7</xdr:row>
          <xdr:rowOff>28575</xdr:rowOff>
        </xdr:to>
        <xdr:sp macro="" textlink="">
          <xdr:nvSpPr>
            <xdr:cNvPr id="31803" name="Option Button 59" hidden="1">
              <a:extLst>
                <a:ext uri="{63B3BB69-23CF-44E3-9099-C40C66FF867C}">
                  <a14:compatExt spid="_x0000_s31803"/>
                </a:ext>
                <a:ext uri="{FF2B5EF4-FFF2-40B4-BE49-F238E27FC236}">
                  <a16:creationId xmlns:a16="http://schemas.microsoft.com/office/drawing/2014/main" id="{00000000-0008-0000-2000-00003B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Hivatásos kisgéphajó vezető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6</xdr:row>
          <xdr:rowOff>180975</xdr:rowOff>
        </xdr:from>
        <xdr:to>
          <xdr:col>1</xdr:col>
          <xdr:colOff>2724150</xdr:colOff>
          <xdr:row>8</xdr:row>
          <xdr:rowOff>19050</xdr:rowOff>
        </xdr:to>
        <xdr:sp macro="" textlink="">
          <xdr:nvSpPr>
            <xdr:cNvPr id="31804" name="Option Button 60" hidden="1">
              <a:extLst>
                <a:ext uri="{63B3BB69-23CF-44E3-9099-C40C66FF867C}">
                  <a14:compatExt spid="_x0000_s31804"/>
                </a:ext>
                <a:ext uri="{FF2B5EF4-FFF2-40B4-BE49-F238E27FC236}">
                  <a16:creationId xmlns:a16="http://schemas.microsoft.com/office/drawing/2014/main" id="{00000000-0008-0000-2000-00003C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Szolgálati célú kisgéphajó vezető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7</xdr:row>
          <xdr:rowOff>180975</xdr:rowOff>
        </xdr:from>
        <xdr:to>
          <xdr:col>1</xdr:col>
          <xdr:colOff>2657475</xdr:colOff>
          <xdr:row>9</xdr:row>
          <xdr:rowOff>19050</xdr:rowOff>
        </xdr:to>
        <xdr:sp macro="" textlink="">
          <xdr:nvSpPr>
            <xdr:cNvPr id="31805" name="Option Button 61" hidden="1">
              <a:extLst>
                <a:ext uri="{63B3BB69-23CF-44E3-9099-C40C66FF867C}">
                  <a14:compatExt spid="_x0000_s31805"/>
                </a:ext>
                <a:ext uri="{FF2B5EF4-FFF2-40B4-BE49-F238E27FC236}">
                  <a16:creationId xmlns:a16="http://schemas.microsoft.com/office/drawing/2014/main" id="{00000000-0008-0000-2000-00003D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Kedvtelési célú kisgéphajó vezető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8</xdr:row>
          <xdr:rowOff>180975</xdr:rowOff>
        </xdr:from>
        <xdr:to>
          <xdr:col>1</xdr:col>
          <xdr:colOff>1600200</xdr:colOff>
          <xdr:row>10</xdr:row>
          <xdr:rowOff>19050</xdr:rowOff>
        </xdr:to>
        <xdr:sp macro="" textlink="">
          <xdr:nvSpPr>
            <xdr:cNvPr id="31806" name="Option Button 62" hidden="1">
              <a:extLst>
                <a:ext uri="{63B3BB69-23CF-44E3-9099-C40C66FF867C}">
                  <a14:compatExt spid="_x0000_s31806"/>
                </a:ext>
                <a:ext uri="{FF2B5EF4-FFF2-40B4-BE49-F238E27FC236}">
                  <a16:creationId xmlns:a16="http://schemas.microsoft.com/office/drawing/2014/main" id="{00000000-0008-0000-2000-00003E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Második fedélzeti tiszt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180975</xdr:rowOff>
        </xdr:from>
        <xdr:to>
          <xdr:col>1</xdr:col>
          <xdr:colOff>1600200</xdr:colOff>
          <xdr:row>11</xdr:row>
          <xdr:rowOff>19050</xdr:rowOff>
        </xdr:to>
        <xdr:sp macro="" textlink="">
          <xdr:nvSpPr>
            <xdr:cNvPr id="31807" name="Option Button 63" hidden="1">
              <a:extLst>
                <a:ext uri="{63B3BB69-23CF-44E3-9099-C40C66FF867C}">
                  <a14:compatExt spid="_x0000_s31807"/>
                </a:ext>
                <a:ext uri="{FF2B5EF4-FFF2-40B4-BE49-F238E27FC236}">
                  <a16:creationId xmlns:a16="http://schemas.microsoft.com/office/drawing/2014/main" id="{00000000-0008-0000-2000-00003F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Úszómunkagép vezető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10</xdr:row>
          <xdr:rowOff>180975</xdr:rowOff>
        </xdr:from>
        <xdr:to>
          <xdr:col>1</xdr:col>
          <xdr:colOff>1600200</xdr:colOff>
          <xdr:row>12</xdr:row>
          <xdr:rowOff>28575</xdr:rowOff>
        </xdr:to>
        <xdr:sp macro="" textlink="">
          <xdr:nvSpPr>
            <xdr:cNvPr id="31808" name="Option Button 64" hidden="1">
              <a:extLst>
                <a:ext uri="{63B3BB69-23CF-44E3-9099-C40C66FF867C}">
                  <a14:compatExt spid="_x0000_s31808"/>
                </a:ext>
                <a:ext uri="{FF2B5EF4-FFF2-40B4-BE49-F238E27FC236}">
                  <a16:creationId xmlns:a16="http://schemas.microsoft.com/office/drawing/2014/main" id="{00000000-0008-0000-2000-000040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Gépnélküli hajó vezető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12</xdr:row>
          <xdr:rowOff>0</xdr:rowOff>
        </xdr:from>
        <xdr:to>
          <xdr:col>1</xdr:col>
          <xdr:colOff>1600200</xdr:colOff>
          <xdr:row>13</xdr:row>
          <xdr:rowOff>38100</xdr:rowOff>
        </xdr:to>
        <xdr:sp macro="" textlink="">
          <xdr:nvSpPr>
            <xdr:cNvPr id="31809" name="Option Button 65" hidden="1">
              <a:extLst>
                <a:ext uri="{63B3BB69-23CF-44E3-9099-C40C66FF867C}">
                  <a14:compatExt spid="_x0000_s31809"/>
                </a:ext>
                <a:ext uri="{FF2B5EF4-FFF2-40B4-BE49-F238E27FC236}">
                  <a16:creationId xmlns:a16="http://schemas.microsoft.com/office/drawing/2014/main" id="{00000000-0008-0000-2000-000041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Révész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13</xdr:row>
          <xdr:rowOff>0</xdr:rowOff>
        </xdr:from>
        <xdr:to>
          <xdr:col>1</xdr:col>
          <xdr:colOff>1600200</xdr:colOff>
          <xdr:row>14</xdr:row>
          <xdr:rowOff>38100</xdr:rowOff>
        </xdr:to>
        <xdr:sp macro="" textlink="">
          <xdr:nvSpPr>
            <xdr:cNvPr id="31810" name="Option Button 66" hidden="1">
              <a:extLst>
                <a:ext uri="{63B3BB69-23CF-44E3-9099-C40C66FF867C}">
                  <a14:compatExt spid="_x0000_s31810"/>
                </a:ext>
                <a:ext uri="{FF2B5EF4-FFF2-40B4-BE49-F238E27FC236}">
                  <a16:creationId xmlns:a16="http://schemas.microsoft.com/office/drawing/2014/main" id="{00000000-0008-0000-2000-000042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Révész „A”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14</xdr:row>
          <xdr:rowOff>19050</xdr:rowOff>
        </xdr:from>
        <xdr:to>
          <xdr:col>1</xdr:col>
          <xdr:colOff>3448050</xdr:colOff>
          <xdr:row>15</xdr:row>
          <xdr:rowOff>0</xdr:rowOff>
        </xdr:to>
        <xdr:sp macro="" textlink="">
          <xdr:nvSpPr>
            <xdr:cNvPr id="31811" name="Option Button 67" hidden="1">
              <a:extLst>
                <a:ext uri="{63B3BB69-23CF-44E3-9099-C40C66FF867C}">
                  <a14:compatExt spid="_x0000_s31811"/>
                </a:ext>
                <a:ext uri="{FF2B5EF4-FFF2-40B4-BE49-F238E27FC236}">
                  <a16:creationId xmlns:a16="http://schemas.microsoft.com/office/drawing/2014/main" id="{00000000-0008-0000-2000-000043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Géphajó kormányos (a vonalvizsgának megfelelő vízterületen)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14</xdr:row>
          <xdr:rowOff>228600</xdr:rowOff>
        </xdr:from>
        <xdr:to>
          <xdr:col>1</xdr:col>
          <xdr:colOff>3448050</xdr:colOff>
          <xdr:row>16</xdr:row>
          <xdr:rowOff>19050</xdr:rowOff>
        </xdr:to>
        <xdr:sp macro="" textlink="">
          <xdr:nvSpPr>
            <xdr:cNvPr id="31847" name="Option Button 103" hidden="1">
              <a:extLst>
                <a:ext uri="{63B3BB69-23CF-44E3-9099-C40C66FF867C}">
                  <a14:compatExt spid="_x0000_s31847"/>
                </a:ext>
                <a:ext uri="{FF2B5EF4-FFF2-40B4-BE49-F238E27FC236}">
                  <a16:creationId xmlns:a16="http://schemas.microsoft.com/office/drawing/2014/main" id="{00000000-0008-0000-2000-000067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Kormányos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16</xdr:row>
          <xdr:rowOff>0</xdr:rowOff>
        </xdr:from>
        <xdr:to>
          <xdr:col>1</xdr:col>
          <xdr:colOff>3448050</xdr:colOff>
          <xdr:row>17</xdr:row>
          <xdr:rowOff>28575</xdr:rowOff>
        </xdr:to>
        <xdr:sp macro="" textlink="">
          <xdr:nvSpPr>
            <xdr:cNvPr id="31848" name="Option Button 104" hidden="1">
              <a:extLst>
                <a:ext uri="{63B3BB69-23CF-44E3-9099-C40C66FF867C}">
                  <a14:compatExt spid="_x0000_s31848"/>
                </a:ext>
                <a:ext uri="{FF2B5EF4-FFF2-40B4-BE49-F238E27FC236}">
                  <a16:creationId xmlns:a16="http://schemas.microsoft.com/office/drawing/2014/main" id="{00000000-0008-0000-2000-000068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Fedélzetmester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17</xdr:row>
          <xdr:rowOff>0</xdr:rowOff>
        </xdr:from>
        <xdr:to>
          <xdr:col>1</xdr:col>
          <xdr:colOff>3448050</xdr:colOff>
          <xdr:row>18</xdr:row>
          <xdr:rowOff>28575</xdr:rowOff>
        </xdr:to>
        <xdr:sp macro="" textlink="">
          <xdr:nvSpPr>
            <xdr:cNvPr id="31849" name="Option Button 105" hidden="1">
              <a:extLst>
                <a:ext uri="{63B3BB69-23CF-44E3-9099-C40C66FF867C}">
                  <a14:compatExt spid="_x0000_s31849"/>
                </a:ext>
                <a:ext uri="{FF2B5EF4-FFF2-40B4-BE49-F238E27FC236}">
                  <a16:creationId xmlns:a16="http://schemas.microsoft.com/office/drawing/2014/main" id="{00000000-0008-0000-2000-000069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Matróz-gépkezelő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18</xdr:row>
          <xdr:rowOff>0</xdr:rowOff>
        </xdr:from>
        <xdr:to>
          <xdr:col>1</xdr:col>
          <xdr:colOff>3448050</xdr:colOff>
          <xdr:row>19</xdr:row>
          <xdr:rowOff>28575</xdr:rowOff>
        </xdr:to>
        <xdr:sp macro="" textlink="">
          <xdr:nvSpPr>
            <xdr:cNvPr id="31850" name="Option Button 106" hidden="1">
              <a:extLst>
                <a:ext uri="{63B3BB69-23CF-44E3-9099-C40C66FF867C}">
                  <a14:compatExt spid="_x0000_s31850"/>
                </a:ext>
                <a:ext uri="{FF2B5EF4-FFF2-40B4-BE49-F238E27FC236}">
                  <a16:creationId xmlns:a16="http://schemas.microsoft.com/office/drawing/2014/main" id="{00000000-0008-0000-2000-00006A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Matróz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19</xdr:row>
          <xdr:rowOff>9525</xdr:rowOff>
        </xdr:from>
        <xdr:to>
          <xdr:col>1</xdr:col>
          <xdr:colOff>3448050</xdr:colOff>
          <xdr:row>20</xdr:row>
          <xdr:rowOff>38100</xdr:rowOff>
        </xdr:to>
        <xdr:sp macro="" textlink="">
          <xdr:nvSpPr>
            <xdr:cNvPr id="31851" name="Option Button 107" hidden="1">
              <a:extLst>
                <a:ext uri="{63B3BB69-23CF-44E3-9099-C40C66FF867C}">
                  <a14:compatExt spid="_x0000_s31851"/>
                </a:ext>
                <a:ext uri="{FF2B5EF4-FFF2-40B4-BE49-F238E27FC236}">
                  <a16:creationId xmlns:a16="http://schemas.microsoft.com/office/drawing/2014/main" id="{00000000-0008-0000-2000-00006B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Tanulómatróz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20</xdr:row>
          <xdr:rowOff>9525</xdr:rowOff>
        </xdr:from>
        <xdr:to>
          <xdr:col>1</xdr:col>
          <xdr:colOff>3448050</xdr:colOff>
          <xdr:row>21</xdr:row>
          <xdr:rowOff>38100</xdr:rowOff>
        </xdr:to>
        <xdr:sp macro="" textlink="">
          <xdr:nvSpPr>
            <xdr:cNvPr id="31852" name="Option Button 108" hidden="1">
              <a:extLst>
                <a:ext uri="{63B3BB69-23CF-44E3-9099-C40C66FF867C}">
                  <a14:compatExt spid="_x0000_s31852"/>
                </a:ext>
                <a:ext uri="{FF2B5EF4-FFF2-40B4-BE49-F238E27FC236}">
                  <a16:creationId xmlns:a16="http://schemas.microsoft.com/office/drawing/2014/main" id="{00000000-0008-0000-2000-00006C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Gyakornok II.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21</xdr:row>
          <xdr:rowOff>9525</xdr:rowOff>
        </xdr:from>
        <xdr:to>
          <xdr:col>1</xdr:col>
          <xdr:colOff>3457575</xdr:colOff>
          <xdr:row>22</xdr:row>
          <xdr:rowOff>38100</xdr:rowOff>
        </xdr:to>
        <xdr:sp macro="" textlink="">
          <xdr:nvSpPr>
            <xdr:cNvPr id="31853" name="Option Button 109" hidden="1">
              <a:extLst>
                <a:ext uri="{63B3BB69-23CF-44E3-9099-C40C66FF867C}">
                  <a14:compatExt spid="_x0000_s31853"/>
                </a:ext>
                <a:ext uri="{FF2B5EF4-FFF2-40B4-BE49-F238E27FC236}">
                  <a16:creationId xmlns:a16="http://schemas.microsoft.com/office/drawing/2014/main" id="{00000000-0008-0000-2000-00006D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Gyakornok I.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22</xdr:row>
          <xdr:rowOff>9525</xdr:rowOff>
        </xdr:from>
        <xdr:to>
          <xdr:col>1</xdr:col>
          <xdr:colOff>3467100</xdr:colOff>
          <xdr:row>23</xdr:row>
          <xdr:rowOff>38100</xdr:rowOff>
        </xdr:to>
        <xdr:sp macro="" textlink="">
          <xdr:nvSpPr>
            <xdr:cNvPr id="31854" name="Option Button 110" hidden="1">
              <a:extLst>
                <a:ext uri="{63B3BB69-23CF-44E3-9099-C40C66FF867C}">
                  <a14:compatExt spid="_x0000_s31854"/>
                </a:ext>
                <a:ext uri="{FF2B5EF4-FFF2-40B4-BE49-F238E27FC236}">
                  <a16:creationId xmlns:a16="http://schemas.microsoft.com/office/drawing/2014/main" id="{00000000-0008-0000-2000-00006E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Géptiszt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23</xdr:row>
          <xdr:rowOff>0</xdr:rowOff>
        </xdr:from>
        <xdr:to>
          <xdr:col>1</xdr:col>
          <xdr:colOff>3467100</xdr:colOff>
          <xdr:row>24</xdr:row>
          <xdr:rowOff>28575</xdr:rowOff>
        </xdr:to>
        <xdr:sp macro="" textlink="">
          <xdr:nvSpPr>
            <xdr:cNvPr id="31855" name="Option Button 111" hidden="1">
              <a:extLst>
                <a:ext uri="{63B3BB69-23CF-44E3-9099-C40C66FF867C}">
                  <a14:compatExt spid="_x0000_s31855"/>
                </a:ext>
                <a:ext uri="{FF2B5EF4-FFF2-40B4-BE49-F238E27FC236}">
                  <a16:creationId xmlns:a16="http://schemas.microsoft.com/office/drawing/2014/main" id="{00000000-0008-0000-2000-00006F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Gépkezelő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26</xdr:row>
          <xdr:rowOff>219075</xdr:rowOff>
        </xdr:from>
        <xdr:to>
          <xdr:col>1</xdr:col>
          <xdr:colOff>3590925</xdr:colOff>
          <xdr:row>28</xdr:row>
          <xdr:rowOff>38100</xdr:rowOff>
        </xdr:to>
        <xdr:sp macro="" textlink="">
          <xdr:nvSpPr>
            <xdr:cNvPr id="31865" name="Option Button 121" hidden="1">
              <a:extLst>
                <a:ext uri="{63B3BB69-23CF-44E3-9099-C40C66FF867C}">
                  <a14:compatExt spid="_x0000_s31865"/>
                </a:ext>
                <a:ext uri="{FF2B5EF4-FFF2-40B4-BE49-F238E27FC236}">
                  <a16:creationId xmlns:a16="http://schemas.microsoft.com/office/drawing/2014/main" id="{00000000-0008-0000-2000-000079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„A” kategóriájú hajóvezető (vitorlás hajóra)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200025</xdr:rowOff>
        </xdr:from>
        <xdr:to>
          <xdr:col>1</xdr:col>
          <xdr:colOff>2543175</xdr:colOff>
          <xdr:row>29</xdr:row>
          <xdr:rowOff>19050</xdr:rowOff>
        </xdr:to>
        <xdr:sp macro="" textlink="">
          <xdr:nvSpPr>
            <xdr:cNvPr id="31866" name="Option Button 122" hidden="1">
              <a:extLst>
                <a:ext uri="{63B3BB69-23CF-44E3-9099-C40C66FF867C}">
                  <a14:compatExt spid="_x0000_s31866"/>
                </a:ext>
                <a:ext uri="{FF2B5EF4-FFF2-40B4-BE49-F238E27FC236}">
                  <a16:creationId xmlns:a16="http://schemas.microsoft.com/office/drawing/2014/main" id="{00000000-0008-0000-2000-00007A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„B” kategóriájú hajóvezető (vitorlás hajóra)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9525</xdr:rowOff>
        </xdr:from>
        <xdr:to>
          <xdr:col>1</xdr:col>
          <xdr:colOff>3048000</xdr:colOff>
          <xdr:row>30</xdr:row>
          <xdr:rowOff>0</xdr:rowOff>
        </xdr:to>
        <xdr:sp macro="" textlink="">
          <xdr:nvSpPr>
            <xdr:cNvPr id="31867" name="Option Button 123" hidden="1">
              <a:extLst>
                <a:ext uri="{63B3BB69-23CF-44E3-9099-C40C66FF867C}">
                  <a14:compatExt spid="_x0000_s31867"/>
                </a:ext>
                <a:ext uri="{FF2B5EF4-FFF2-40B4-BE49-F238E27FC236}">
                  <a16:creationId xmlns:a16="http://schemas.microsoft.com/office/drawing/2014/main" id="{00000000-0008-0000-2000-00007B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„C” kategóriájú hajóvezető (vitorlás hajóra)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1</xdr:col>
          <xdr:colOff>2552700</xdr:colOff>
          <xdr:row>31</xdr:row>
          <xdr:rowOff>9525</xdr:rowOff>
        </xdr:to>
        <xdr:sp macro="" textlink="">
          <xdr:nvSpPr>
            <xdr:cNvPr id="31869" name="Option Button 125" hidden="1">
              <a:extLst>
                <a:ext uri="{63B3BB69-23CF-44E3-9099-C40C66FF867C}">
                  <a14:compatExt spid="_x0000_s31869"/>
                </a:ext>
                <a:ext uri="{FF2B5EF4-FFF2-40B4-BE49-F238E27FC236}">
                  <a16:creationId xmlns:a16="http://schemas.microsoft.com/office/drawing/2014/main" id="{00000000-0008-0000-2000-00007D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Hivatásos vitorlás kishajó vezető „A”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200025</xdr:rowOff>
        </xdr:from>
        <xdr:to>
          <xdr:col>1</xdr:col>
          <xdr:colOff>2381250</xdr:colOff>
          <xdr:row>32</xdr:row>
          <xdr:rowOff>0</xdr:rowOff>
        </xdr:to>
        <xdr:sp macro="" textlink="">
          <xdr:nvSpPr>
            <xdr:cNvPr id="31870" name="Option Button 126" hidden="1">
              <a:extLst>
                <a:ext uri="{63B3BB69-23CF-44E3-9099-C40C66FF867C}">
                  <a14:compatExt spid="_x0000_s31870"/>
                </a:ext>
                <a:ext uri="{FF2B5EF4-FFF2-40B4-BE49-F238E27FC236}">
                  <a16:creationId xmlns:a16="http://schemas.microsoft.com/office/drawing/2014/main" id="{00000000-0008-0000-2000-00007E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Hivatásos vitorlás kishajó vezető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32</xdr:row>
          <xdr:rowOff>0</xdr:rowOff>
        </xdr:from>
        <xdr:to>
          <xdr:col>1</xdr:col>
          <xdr:colOff>2686050</xdr:colOff>
          <xdr:row>33</xdr:row>
          <xdr:rowOff>28575</xdr:rowOff>
        </xdr:to>
        <xdr:sp macro="" textlink="">
          <xdr:nvSpPr>
            <xdr:cNvPr id="31872" name="Option Button 128" hidden="1">
              <a:extLst>
                <a:ext uri="{63B3BB69-23CF-44E3-9099-C40C66FF867C}">
                  <a14:compatExt spid="_x0000_s31872"/>
                </a:ext>
                <a:ext uri="{FF2B5EF4-FFF2-40B4-BE49-F238E27FC236}">
                  <a16:creationId xmlns:a16="http://schemas.microsoft.com/office/drawing/2014/main" id="{00000000-0008-0000-2000-000080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Kedvtelési célú vitorlás kishajó vezető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3</xdr:row>
          <xdr:rowOff>152400</xdr:rowOff>
        </xdr:from>
        <xdr:to>
          <xdr:col>8</xdr:col>
          <xdr:colOff>466725</xdr:colOff>
          <xdr:row>5</xdr:row>
          <xdr:rowOff>9525</xdr:rowOff>
        </xdr:to>
        <xdr:sp macro="" textlink="">
          <xdr:nvSpPr>
            <xdr:cNvPr id="90113" name="Check Box 1" hidden="1">
              <a:extLst>
                <a:ext uri="{63B3BB69-23CF-44E3-9099-C40C66FF867C}">
                  <a14:compatExt spid="_x0000_s90113"/>
                </a:ext>
                <a:ext uri="{FF2B5EF4-FFF2-40B4-BE49-F238E27FC236}">
                  <a16:creationId xmlns:a16="http://schemas.microsoft.com/office/drawing/2014/main" id="{00000000-0008-0000-0400-0000016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Képesített matróz képesítéssel rendelkezik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4</xdr:row>
          <xdr:rowOff>104775</xdr:rowOff>
        </xdr:from>
        <xdr:to>
          <xdr:col>6</xdr:col>
          <xdr:colOff>47625</xdr:colOff>
          <xdr:row>5</xdr:row>
          <xdr:rowOff>152400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5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2013. július 22 előtt szerzett belvízi kedvtelési célú kishajó vezetői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9</xdr:row>
          <xdr:rowOff>114300</xdr:rowOff>
        </xdr:from>
        <xdr:to>
          <xdr:col>7</xdr:col>
          <xdr:colOff>1076325</xdr:colOff>
          <xdr:row>11</xdr:row>
          <xdr:rowOff>57150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5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Rendelkezik hajózási képesítéssel és iskolarendszerű képzésben, a vizsgatárgyból azonos, vagy magasabb szinten sikeres vizsgát tett (felmentési kérelem)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2</xdr:row>
          <xdr:rowOff>0</xdr:rowOff>
        </xdr:from>
        <xdr:to>
          <xdr:col>6</xdr:col>
          <xdr:colOff>47625</xdr:colOff>
          <xdr:row>3</xdr:row>
          <xdr:rowOff>47625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5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hivatásos vitorlás kishajó vezetői képesítés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12</xdr:row>
          <xdr:rowOff>95250</xdr:rowOff>
        </xdr:from>
        <xdr:to>
          <xdr:col>4</xdr:col>
          <xdr:colOff>1000125</xdr:colOff>
          <xdr:row>13</xdr:row>
          <xdr:rowOff>114300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5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gépész, gépkezelő vagy géptiszt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3</xdr:row>
          <xdr:rowOff>57150</xdr:rowOff>
        </xdr:from>
        <xdr:to>
          <xdr:col>6</xdr:col>
          <xdr:colOff>47625</xdr:colOff>
          <xdr:row>4</xdr:row>
          <xdr:rowOff>104775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5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géphajó kormányosi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7</xdr:row>
          <xdr:rowOff>19050</xdr:rowOff>
        </xdr:from>
        <xdr:to>
          <xdr:col>4</xdr:col>
          <xdr:colOff>885825</xdr:colOff>
          <xdr:row>7</xdr:row>
          <xdr:rowOff>238125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5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gépnélküli hajó vezető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7</xdr:row>
          <xdr:rowOff>247650</xdr:rowOff>
        </xdr:from>
        <xdr:to>
          <xdr:col>4</xdr:col>
          <xdr:colOff>885825</xdr:colOff>
          <xdr:row>8</xdr:row>
          <xdr:rowOff>66675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5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révész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8</xdr:row>
          <xdr:rowOff>66675</xdr:rowOff>
        </xdr:from>
        <xdr:to>
          <xdr:col>4</xdr:col>
          <xdr:colOff>885825</xdr:colOff>
          <xdr:row>8</xdr:row>
          <xdr:rowOff>285750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5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révész A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11</xdr:row>
          <xdr:rowOff>66675</xdr:rowOff>
        </xdr:from>
        <xdr:to>
          <xdr:col>4</xdr:col>
          <xdr:colOff>885825</xdr:colOff>
          <xdr:row>12</xdr:row>
          <xdr:rowOff>95250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5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UMG vezető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5</xdr:row>
          <xdr:rowOff>161925</xdr:rowOff>
        </xdr:from>
        <xdr:to>
          <xdr:col>6</xdr:col>
          <xdr:colOff>47625</xdr:colOff>
          <xdr:row>7</xdr:row>
          <xdr:rowOff>19050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5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2013. július 21 után szerzett belvízi kedvtelési célú kishajó vezetői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13</xdr:row>
          <xdr:rowOff>123825</xdr:rowOff>
        </xdr:from>
        <xdr:to>
          <xdr:col>6</xdr:col>
          <xdr:colOff>609600</xdr:colOff>
          <xdr:row>14</xdr:row>
          <xdr:rowOff>142875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5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fedélzeti tiszti, hivatásos kisgéphajó vezető vagy annál magasabb géphajó vezető képesítés (UNIÓS kivételével)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8</xdr:row>
          <xdr:rowOff>295275</xdr:rowOff>
        </xdr:from>
        <xdr:to>
          <xdr:col>4</xdr:col>
          <xdr:colOff>885825</xdr:colOff>
          <xdr:row>9</xdr:row>
          <xdr:rowOff>114300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5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hajózási szakképzésben szerzett képesítő bizonyítvány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3</xdr:row>
          <xdr:rowOff>209550</xdr:rowOff>
        </xdr:from>
        <xdr:to>
          <xdr:col>5</xdr:col>
          <xdr:colOff>1095375</xdr:colOff>
          <xdr:row>4</xdr:row>
          <xdr:rowOff>200025</xdr:rowOff>
        </xdr:to>
        <xdr:sp macro="" textlink="">
          <xdr:nvSpPr>
            <xdr:cNvPr id="59393" name="Check Box 1" hidden="1">
              <a:extLst>
                <a:ext uri="{63B3BB69-23CF-44E3-9099-C40C66FF867C}">
                  <a14:compatExt spid="_x0000_s59393"/>
                </a:ext>
                <a:ext uri="{FF2B5EF4-FFF2-40B4-BE49-F238E27FC236}">
                  <a16:creationId xmlns:a16="http://schemas.microsoft.com/office/drawing/2014/main" id="{00000000-0008-0000-0600-000001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2013. július 22 előtt szerzett belvízi kedvtelési célú kishajó vezetői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8</xdr:row>
          <xdr:rowOff>142875</xdr:rowOff>
        </xdr:from>
        <xdr:to>
          <xdr:col>6</xdr:col>
          <xdr:colOff>790575</xdr:colOff>
          <xdr:row>9</xdr:row>
          <xdr:rowOff>219075</xdr:rowOff>
        </xdr:to>
        <xdr:sp macro="" textlink="">
          <xdr:nvSpPr>
            <xdr:cNvPr id="59394" name="Check Box 2" hidden="1">
              <a:extLst>
                <a:ext uri="{63B3BB69-23CF-44E3-9099-C40C66FF867C}">
                  <a14:compatExt spid="_x0000_s59394"/>
                </a:ext>
                <a:ext uri="{FF2B5EF4-FFF2-40B4-BE49-F238E27FC236}">
                  <a16:creationId xmlns:a16="http://schemas.microsoft.com/office/drawing/2014/main" id="{00000000-0008-0000-0600-000002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hajózási szakképzésben szerzett képesítő bizonyítvány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2</xdr:row>
          <xdr:rowOff>0</xdr:rowOff>
        </xdr:from>
        <xdr:to>
          <xdr:col>5</xdr:col>
          <xdr:colOff>1095375</xdr:colOff>
          <xdr:row>2</xdr:row>
          <xdr:rowOff>238125</xdr:rowOff>
        </xdr:to>
        <xdr:sp macro="" textlink="">
          <xdr:nvSpPr>
            <xdr:cNvPr id="59395" name="Check Box 3" hidden="1">
              <a:extLst>
                <a:ext uri="{63B3BB69-23CF-44E3-9099-C40C66FF867C}">
                  <a14:compatExt spid="_x0000_s59395"/>
                </a:ext>
                <a:ext uri="{FF2B5EF4-FFF2-40B4-BE49-F238E27FC236}">
                  <a16:creationId xmlns:a16="http://schemas.microsoft.com/office/drawing/2014/main" id="{00000000-0008-0000-0600-000003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hivatásos vitorlás kishajó vezetői képesítés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12</xdr:row>
          <xdr:rowOff>66675</xdr:rowOff>
        </xdr:from>
        <xdr:to>
          <xdr:col>4</xdr:col>
          <xdr:colOff>942975</xdr:colOff>
          <xdr:row>13</xdr:row>
          <xdr:rowOff>28575</xdr:rowOff>
        </xdr:to>
        <xdr:sp macro="" textlink="">
          <xdr:nvSpPr>
            <xdr:cNvPr id="59396" name="Check Box 4" hidden="1">
              <a:extLst>
                <a:ext uri="{63B3BB69-23CF-44E3-9099-C40C66FF867C}">
                  <a14:compatExt spid="_x0000_s59396"/>
                </a:ext>
                <a:ext uri="{FF2B5EF4-FFF2-40B4-BE49-F238E27FC236}">
                  <a16:creationId xmlns:a16="http://schemas.microsoft.com/office/drawing/2014/main" id="{00000000-0008-0000-0600-000004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gépész, gépkezelő vagy géptiszt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2</xdr:row>
          <xdr:rowOff>219075</xdr:rowOff>
        </xdr:from>
        <xdr:to>
          <xdr:col>5</xdr:col>
          <xdr:colOff>1095375</xdr:colOff>
          <xdr:row>3</xdr:row>
          <xdr:rowOff>209550</xdr:rowOff>
        </xdr:to>
        <xdr:sp macro="" textlink="">
          <xdr:nvSpPr>
            <xdr:cNvPr id="59397" name="Check Box 5" hidden="1">
              <a:extLst>
                <a:ext uri="{63B3BB69-23CF-44E3-9099-C40C66FF867C}">
                  <a14:compatExt spid="_x0000_s59397"/>
                </a:ext>
                <a:ext uri="{FF2B5EF4-FFF2-40B4-BE49-F238E27FC236}">
                  <a16:creationId xmlns:a16="http://schemas.microsoft.com/office/drawing/2014/main" id="{00000000-0008-0000-0600-000005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géphajó kormányosi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5</xdr:row>
          <xdr:rowOff>209550</xdr:rowOff>
        </xdr:from>
        <xdr:to>
          <xdr:col>4</xdr:col>
          <xdr:colOff>828675</xdr:colOff>
          <xdr:row>6</xdr:row>
          <xdr:rowOff>180975</xdr:rowOff>
        </xdr:to>
        <xdr:sp macro="" textlink="">
          <xdr:nvSpPr>
            <xdr:cNvPr id="59398" name="Check Box 6" hidden="1">
              <a:extLst>
                <a:ext uri="{63B3BB69-23CF-44E3-9099-C40C66FF867C}">
                  <a14:compatExt spid="_x0000_s59398"/>
                </a:ext>
                <a:ext uri="{FF2B5EF4-FFF2-40B4-BE49-F238E27FC236}">
                  <a16:creationId xmlns:a16="http://schemas.microsoft.com/office/drawing/2014/main" id="{00000000-0008-0000-0600-000006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gépnélküli hajó vezető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6</xdr:row>
          <xdr:rowOff>180975</xdr:rowOff>
        </xdr:from>
        <xdr:to>
          <xdr:col>4</xdr:col>
          <xdr:colOff>828675</xdr:colOff>
          <xdr:row>7</xdr:row>
          <xdr:rowOff>152400</xdr:rowOff>
        </xdr:to>
        <xdr:sp macro="" textlink="">
          <xdr:nvSpPr>
            <xdr:cNvPr id="59399" name="Check Box 7" hidden="1">
              <a:extLst>
                <a:ext uri="{63B3BB69-23CF-44E3-9099-C40C66FF867C}">
                  <a14:compatExt spid="_x0000_s59399"/>
                </a:ext>
                <a:ext uri="{FF2B5EF4-FFF2-40B4-BE49-F238E27FC236}">
                  <a16:creationId xmlns:a16="http://schemas.microsoft.com/office/drawing/2014/main" id="{00000000-0008-0000-0600-000007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révész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7</xdr:row>
          <xdr:rowOff>161925</xdr:rowOff>
        </xdr:from>
        <xdr:to>
          <xdr:col>4</xdr:col>
          <xdr:colOff>828675</xdr:colOff>
          <xdr:row>8</xdr:row>
          <xdr:rowOff>133350</xdr:rowOff>
        </xdr:to>
        <xdr:sp macro="" textlink="">
          <xdr:nvSpPr>
            <xdr:cNvPr id="59400" name="Check Box 8" hidden="1">
              <a:extLst>
                <a:ext uri="{63B3BB69-23CF-44E3-9099-C40C66FF867C}">
                  <a14:compatExt spid="_x0000_s59400"/>
                </a:ext>
                <a:ext uri="{FF2B5EF4-FFF2-40B4-BE49-F238E27FC236}">
                  <a16:creationId xmlns:a16="http://schemas.microsoft.com/office/drawing/2014/main" id="{00000000-0008-0000-0600-000008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révész A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11</xdr:row>
          <xdr:rowOff>85725</xdr:rowOff>
        </xdr:from>
        <xdr:to>
          <xdr:col>4</xdr:col>
          <xdr:colOff>828675</xdr:colOff>
          <xdr:row>12</xdr:row>
          <xdr:rowOff>57150</xdr:rowOff>
        </xdr:to>
        <xdr:sp macro="" textlink="">
          <xdr:nvSpPr>
            <xdr:cNvPr id="59401" name="Check Box 9" hidden="1">
              <a:extLst>
                <a:ext uri="{63B3BB69-23CF-44E3-9099-C40C66FF867C}">
                  <a14:compatExt spid="_x0000_s59401"/>
                </a:ext>
                <a:ext uri="{FF2B5EF4-FFF2-40B4-BE49-F238E27FC236}">
                  <a16:creationId xmlns:a16="http://schemas.microsoft.com/office/drawing/2014/main" id="{00000000-0008-0000-0600-000009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UMG vezető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4</xdr:row>
          <xdr:rowOff>209550</xdr:rowOff>
        </xdr:from>
        <xdr:to>
          <xdr:col>5</xdr:col>
          <xdr:colOff>1095375</xdr:colOff>
          <xdr:row>5</xdr:row>
          <xdr:rowOff>200025</xdr:rowOff>
        </xdr:to>
        <xdr:sp macro="" textlink="">
          <xdr:nvSpPr>
            <xdr:cNvPr id="59402" name="Check Box 10" hidden="1">
              <a:extLst>
                <a:ext uri="{63B3BB69-23CF-44E3-9099-C40C66FF867C}">
                  <a14:compatExt spid="_x0000_s59402"/>
                </a:ext>
                <a:ext uri="{FF2B5EF4-FFF2-40B4-BE49-F238E27FC236}">
                  <a16:creationId xmlns:a16="http://schemas.microsoft.com/office/drawing/2014/main" id="{00000000-0008-0000-0600-00000A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2013. július 21 után szerzett belvízi kedvtelési célú kishajó vezetői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13</xdr:row>
          <xdr:rowOff>28575</xdr:rowOff>
        </xdr:from>
        <xdr:to>
          <xdr:col>6</xdr:col>
          <xdr:colOff>514350</xdr:colOff>
          <xdr:row>13</xdr:row>
          <xdr:rowOff>238125</xdr:rowOff>
        </xdr:to>
        <xdr:sp macro="" textlink="">
          <xdr:nvSpPr>
            <xdr:cNvPr id="59403" name="Check Box 11" hidden="1">
              <a:extLst>
                <a:ext uri="{63B3BB69-23CF-44E3-9099-C40C66FF867C}">
                  <a14:compatExt spid="_x0000_s59403"/>
                </a:ext>
                <a:ext uri="{FF2B5EF4-FFF2-40B4-BE49-F238E27FC236}">
                  <a16:creationId xmlns:a16="http://schemas.microsoft.com/office/drawing/2014/main" id="{00000000-0008-0000-0600-00000B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fedélzeti tiszti vagy hivatásos kisgéphajó vezetőnél magasabb géphajó vezető képesítés (UNIÓS kivételével)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14</xdr:row>
          <xdr:rowOff>0</xdr:rowOff>
        </xdr:from>
        <xdr:to>
          <xdr:col>6</xdr:col>
          <xdr:colOff>514350</xdr:colOff>
          <xdr:row>14</xdr:row>
          <xdr:rowOff>209550</xdr:rowOff>
        </xdr:to>
        <xdr:sp macro="" textlink="">
          <xdr:nvSpPr>
            <xdr:cNvPr id="59404" name="Check Box 12" hidden="1">
              <a:extLst>
                <a:ext uri="{63B3BB69-23CF-44E3-9099-C40C66FF867C}">
                  <a14:compatExt spid="_x0000_s59404"/>
                </a:ext>
                <a:ext uri="{FF2B5EF4-FFF2-40B4-BE49-F238E27FC236}">
                  <a16:creationId xmlns:a16="http://schemas.microsoft.com/office/drawing/2014/main" id="{00000000-0008-0000-0600-00000C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szolgálati célú kisgéphajó vezető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10</xdr:row>
          <xdr:rowOff>0</xdr:rowOff>
        </xdr:from>
        <xdr:to>
          <xdr:col>7</xdr:col>
          <xdr:colOff>742950</xdr:colOff>
          <xdr:row>11</xdr:row>
          <xdr:rowOff>76200</xdr:rowOff>
        </xdr:to>
        <xdr:sp macro="" textlink="">
          <xdr:nvSpPr>
            <xdr:cNvPr id="59405" name="Check Box 13" hidden="1">
              <a:extLst>
                <a:ext uri="{63B3BB69-23CF-44E3-9099-C40C66FF867C}">
                  <a14:compatExt spid="_x0000_s59405"/>
                </a:ext>
                <a:ext uri="{FF2B5EF4-FFF2-40B4-BE49-F238E27FC236}">
                  <a16:creationId xmlns:a16="http://schemas.microsoft.com/office/drawing/2014/main" id="{00000000-0008-0000-0600-00000D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Rendelkezik hajózási képesítéssel és iskolarendszerű képzésben, a vizsgatárgyból azonos, vagy magasabb szinten sikeres vizsgát tett (felmentési kérelem)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3</xdr:row>
          <xdr:rowOff>209550</xdr:rowOff>
        </xdr:from>
        <xdr:to>
          <xdr:col>6</xdr:col>
          <xdr:colOff>428625</xdr:colOff>
          <xdr:row>4</xdr:row>
          <xdr:rowOff>209550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7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2013. július 22 előtt szerzett belvízi kedvtelési célú kisgéphajó vezetői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8</xdr:row>
          <xdr:rowOff>9525</xdr:rowOff>
        </xdr:from>
        <xdr:to>
          <xdr:col>5</xdr:col>
          <xdr:colOff>66675</xdr:colOff>
          <xdr:row>8</xdr:row>
          <xdr:rowOff>228600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7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szolgálati célú kisgéphajó vezető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10</xdr:row>
          <xdr:rowOff>228600</xdr:rowOff>
        </xdr:from>
        <xdr:to>
          <xdr:col>7</xdr:col>
          <xdr:colOff>257175</xdr:colOff>
          <xdr:row>12</xdr:row>
          <xdr:rowOff>38100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7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hajózási szakképzésben szerzett képesítő bizonyítvány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2</xdr:row>
          <xdr:rowOff>0</xdr:rowOff>
        </xdr:from>
        <xdr:to>
          <xdr:col>7</xdr:col>
          <xdr:colOff>266700</xdr:colOff>
          <xdr:row>2</xdr:row>
          <xdr:rowOff>180975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7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hivatásos  kisgéphajó vezető vagy annál magasabb szintű géphajóvezetői képesítés (UNIÓs kivételével)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13</xdr:row>
          <xdr:rowOff>180975</xdr:rowOff>
        </xdr:from>
        <xdr:to>
          <xdr:col>5</xdr:col>
          <xdr:colOff>180975</xdr:colOff>
          <xdr:row>14</xdr:row>
          <xdr:rowOff>152400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7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gépész, gépkezelő vagy géptiszt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5</xdr:row>
          <xdr:rowOff>238125</xdr:rowOff>
        </xdr:from>
        <xdr:to>
          <xdr:col>6</xdr:col>
          <xdr:colOff>428625</xdr:colOff>
          <xdr:row>6</xdr:row>
          <xdr:rowOff>238125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7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2013. július 22 előtt szerzett belvízi kedvtelési célú vitorlás kishajó vezetői képesítés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4</xdr:row>
          <xdr:rowOff>219075</xdr:rowOff>
        </xdr:from>
        <xdr:to>
          <xdr:col>6</xdr:col>
          <xdr:colOff>428625</xdr:colOff>
          <xdr:row>5</xdr:row>
          <xdr:rowOff>219075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7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2013. július 21 után szerzett belvízi kedvtelési célú kisgéphajó vagy vitorlás kishajó vezetői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2</xdr:row>
          <xdr:rowOff>190500</xdr:rowOff>
        </xdr:from>
        <xdr:to>
          <xdr:col>6</xdr:col>
          <xdr:colOff>428625</xdr:colOff>
          <xdr:row>3</xdr:row>
          <xdr:rowOff>190500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7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géphajó kormányosi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7</xdr:row>
          <xdr:rowOff>9525</xdr:rowOff>
        </xdr:from>
        <xdr:to>
          <xdr:col>5</xdr:col>
          <xdr:colOff>66675</xdr:colOff>
          <xdr:row>7</xdr:row>
          <xdr:rowOff>228600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7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gépnélküli hajó vezető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9</xdr:row>
          <xdr:rowOff>0</xdr:rowOff>
        </xdr:from>
        <xdr:to>
          <xdr:col>5</xdr:col>
          <xdr:colOff>66675</xdr:colOff>
          <xdr:row>9</xdr:row>
          <xdr:rowOff>219075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7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révész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9</xdr:row>
          <xdr:rowOff>238125</xdr:rowOff>
        </xdr:from>
        <xdr:to>
          <xdr:col>5</xdr:col>
          <xdr:colOff>66675</xdr:colOff>
          <xdr:row>10</xdr:row>
          <xdr:rowOff>219075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7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révész A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14</xdr:row>
          <xdr:rowOff>161925</xdr:rowOff>
        </xdr:from>
        <xdr:to>
          <xdr:col>5</xdr:col>
          <xdr:colOff>66675</xdr:colOff>
          <xdr:row>15</xdr:row>
          <xdr:rowOff>142875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7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UMG vezető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12</xdr:row>
          <xdr:rowOff>352425</xdr:rowOff>
        </xdr:from>
        <xdr:to>
          <xdr:col>7</xdr:col>
          <xdr:colOff>257175</xdr:colOff>
          <xdr:row>13</xdr:row>
          <xdr:rowOff>161925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7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vitorlás nagyhajóvezető képesítés (UNIÓS kivételével)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12</xdr:row>
          <xdr:rowOff>57150</xdr:rowOff>
        </xdr:from>
        <xdr:to>
          <xdr:col>8</xdr:col>
          <xdr:colOff>533400</xdr:colOff>
          <xdr:row>12</xdr:row>
          <xdr:rowOff>342900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7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Rendelkezik hajózási képesítéssel és iskolarendszerű képzésben, a vizsgatárgyból azonos, vagy magasabb szinten sikeres vizsgát tett (felmentési kérelem)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4</xdr:row>
          <xdr:rowOff>76200</xdr:rowOff>
        </xdr:from>
        <xdr:to>
          <xdr:col>6</xdr:col>
          <xdr:colOff>142875</xdr:colOff>
          <xdr:row>5</xdr:row>
          <xdr:rowOff>47625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8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2013. július 22 előtt szerzett belvízi kedvtelési célú kishajó vezetői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6</xdr:row>
          <xdr:rowOff>133350</xdr:rowOff>
        </xdr:from>
        <xdr:to>
          <xdr:col>4</xdr:col>
          <xdr:colOff>942975</xdr:colOff>
          <xdr:row>7</xdr:row>
          <xdr:rowOff>85725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8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révész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8</xdr:row>
          <xdr:rowOff>171450</xdr:rowOff>
        </xdr:from>
        <xdr:to>
          <xdr:col>4</xdr:col>
          <xdr:colOff>1057275</xdr:colOff>
          <xdr:row>9</xdr:row>
          <xdr:rowOff>114300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8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hajózási szakképzésben szerzett képesítő bizonyítvány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2</xdr:row>
          <xdr:rowOff>38100</xdr:rowOff>
        </xdr:from>
        <xdr:to>
          <xdr:col>8</xdr:col>
          <xdr:colOff>85725</xdr:colOff>
          <xdr:row>2</xdr:row>
          <xdr:rowOff>238125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8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fedélzeti tiszti, szolgálati célú kishajó vezető vagy hivatásos kishajó vezetői vagy annál magasabb szintű hajóvezető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9</xdr:row>
          <xdr:rowOff>180975</xdr:rowOff>
        </xdr:from>
        <xdr:to>
          <xdr:col>4</xdr:col>
          <xdr:colOff>1057275</xdr:colOff>
          <xdr:row>10</xdr:row>
          <xdr:rowOff>9525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8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gépész, gépkezelő vagy géptiszt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3</xdr:row>
          <xdr:rowOff>38100</xdr:rowOff>
        </xdr:from>
        <xdr:to>
          <xdr:col>6</xdr:col>
          <xdr:colOff>142875</xdr:colOff>
          <xdr:row>4</xdr:row>
          <xdr:rowOff>9525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8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géphajó kormányosi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5</xdr:row>
          <xdr:rowOff>114300</xdr:rowOff>
        </xdr:from>
        <xdr:to>
          <xdr:col>4</xdr:col>
          <xdr:colOff>942975</xdr:colOff>
          <xdr:row>6</xdr:row>
          <xdr:rowOff>66675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8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gépnélküli hajó vezető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7</xdr:row>
          <xdr:rowOff>152400</xdr:rowOff>
        </xdr:from>
        <xdr:to>
          <xdr:col>4</xdr:col>
          <xdr:colOff>942975</xdr:colOff>
          <xdr:row>8</xdr:row>
          <xdr:rowOff>104775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8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révész A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447675</xdr:colOff>
          <xdr:row>10</xdr:row>
          <xdr:rowOff>28575</xdr:rowOff>
        </xdr:from>
        <xdr:to>
          <xdr:col>8</xdr:col>
          <xdr:colOff>742950</xdr:colOff>
          <xdr:row>11</xdr:row>
          <xdr:rowOff>47625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8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Rendelkezik hajózási képesítéssel és iskolarendszerű képzésben, a vizsgatárgyból azonos, vagy magasabb szinten sikeres vizsgát tett (felmentési kérelem)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8</xdr:row>
          <xdr:rowOff>142875</xdr:rowOff>
        </xdr:from>
        <xdr:to>
          <xdr:col>7</xdr:col>
          <xdr:colOff>695325</xdr:colOff>
          <xdr:row>9</xdr:row>
          <xdr:rowOff>152400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9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hajózási szakképzésben szerzett bizonyítvány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4</xdr:row>
          <xdr:rowOff>95250</xdr:rowOff>
        </xdr:from>
        <xdr:to>
          <xdr:col>6</xdr:col>
          <xdr:colOff>523875</xdr:colOff>
          <xdr:row>5</xdr:row>
          <xdr:rowOff>114300</xdr:rowOff>
        </xdr:to>
        <xdr:sp macro="" textlink="">
          <xdr:nvSpPr>
            <xdr:cNvPr id="22531" name="Check Box 3" hidden="1">
              <a:extLst>
                <a:ext uri="{63B3BB69-23CF-44E3-9099-C40C66FF867C}">
                  <a14:compatExt spid="_x0000_s22531"/>
                </a:ext>
                <a:ext uri="{FF2B5EF4-FFF2-40B4-BE49-F238E27FC236}">
                  <a16:creationId xmlns:a16="http://schemas.microsoft.com/office/drawing/2014/main" id="{00000000-0008-0000-0900-00000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szolgálati célú vagy hivatásos kishajó vezetői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5</xdr:row>
          <xdr:rowOff>123825</xdr:rowOff>
        </xdr:from>
        <xdr:to>
          <xdr:col>6</xdr:col>
          <xdr:colOff>523875</xdr:colOff>
          <xdr:row>6</xdr:row>
          <xdr:rowOff>142875</xdr:rowOff>
        </xdr:to>
        <xdr:sp macro="" textlink="">
          <xdr:nvSpPr>
            <xdr:cNvPr id="22533" name="Check Box 5" hidden="1">
              <a:extLst>
                <a:ext uri="{63B3BB69-23CF-44E3-9099-C40C66FF867C}">
                  <a14:compatExt spid="_x0000_s22533"/>
                </a:ext>
                <a:ext uri="{FF2B5EF4-FFF2-40B4-BE49-F238E27FC236}">
                  <a16:creationId xmlns:a16="http://schemas.microsoft.com/office/drawing/2014/main" id="{00000000-0008-0000-0900-00000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géphajó kormányosi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6</xdr:row>
          <xdr:rowOff>142875</xdr:rowOff>
        </xdr:from>
        <xdr:to>
          <xdr:col>5</xdr:col>
          <xdr:colOff>142875</xdr:colOff>
          <xdr:row>7</xdr:row>
          <xdr:rowOff>142875</xdr:rowOff>
        </xdr:to>
        <xdr:sp macro="" textlink="">
          <xdr:nvSpPr>
            <xdr:cNvPr id="22535" name="Check Box 7" hidden="1">
              <a:extLst>
                <a:ext uri="{63B3BB69-23CF-44E3-9099-C40C66FF867C}">
                  <a14:compatExt spid="_x0000_s22535"/>
                </a:ext>
                <a:ext uri="{FF2B5EF4-FFF2-40B4-BE49-F238E27FC236}">
                  <a16:creationId xmlns:a16="http://schemas.microsoft.com/office/drawing/2014/main" id="{00000000-0008-0000-0900-00000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révész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7</xdr:row>
          <xdr:rowOff>142875</xdr:rowOff>
        </xdr:from>
        <xdr:to>
          <xdr:col>5</xdr:col>
          <xdr:colOff>142875</xdr:colOff>
          <xdr:row>8</xdr:row>
          <xdr:rowOff>142875</xdr:rowOff>
        </xdr:to>
        <xdr:sp macro="" textlink="">
          <xdr:nvSpPr>
            <xdr:cNvPr id="22536" name="Check Box 8" hidden="1">
              <a:extLst>
                <a:ext uri="{63B3BB69-23CF-44E3-9099-C40C66FF867C}">
                  <a14:compatExt spid="_x0000_s22536"/>
                </a:ext>
                <a:ext uri="{FF2B5EF4-FFF2-40B4-BE49-F238E27FC236}">
                  <a16:creationId xmlns:a16="http://schemas.microsoft.com/office/drawing/2014/main" id="{00000000-0008-0000-0900-00000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révész A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9</xdr:row>
          <xdr:rowOff>161925</xdr:rowOff>
        </xdr:from>
        <xdr:to>
          <xdr:col>5</xdr:col>
          <xdr:colOff>142875</xdr:colOff>
          <xdr:row>10</xdr:row>
          <xdr:rowOff>161925</xdr:rowOff>
        </xdr:to>
        <xdr:sp macro="" textlink="">
          <xdr:nvSpPr>
            <xdr:cNvPr id="22537" name="Check Box 9" hidden="1">
              <a:extLst>
                <a:ext uri="{63B3BB69-23CF-44E3-9099-C40C66FF867C}">
                  <a14:compatExt spid="_x0000_s22537"/>
                </a:ext>
                <a:ext uri="{FF2B5EF4-FFF2-40B4-BE49-F238E27FC236}">
                  <a16:creationId xmlns:a16="http://schemas.microsoft.com/office/drawing/2014/main" id="{00000000-0008-0000-0900-00000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UMG vezető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3</xdr:row>
          <xdr:rowOff>104775</xdr:rowOff>
        </xdr:from>
        <xdr:to>
          <xdr:col>7</xdr:col>
          <xdr:colOff>600075</xdr:colOff>
          <xdr:row>4</xdr:row>
          <xdr:rowOff>95250</xdr:rowOff>
        </xdr:to>
        <xdr:sp macro="" textlink="">
          <xdr:nvSpPr>
            <xdr:cNvPr id="22543" name="Check Box 15" hidden="1">
              <a:extLst>
                <a:ext uri="{63B3BB69-23CF-44E3-9099-C40C66FF867C}">
                  <a14:compatExt spid="_x0000_s22543"/>
                </a:ext>
                <a:ext uri="{FF2B5EF4-FFF2-40B4-BE49-F238E27FC236}">
                  <a16:creationId xmlns:a16="http://schemas.microsoft.com/office/drawing/2014/main" id="{00000000-0008-0000-0900-00000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hivatásos kishajó vezető "A"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10</xdr:row>
          <xdr:rowOff>161925</xdr:rowOff>
        </xdr:from>
        <xdr:to>
          <xdr:col>5</xdr:col>
          <xdr:colOff>142875</xdr:colOff>
          <xdr:row>11</xdr:row>
          <xdr:rowOff>161925</xdr:rowOff>
        </xdr:to>
        <xdr:sp macro="" textlink="">
          <xdr:nvSpPr>
            <xdr:cNvPr id="22544" name="Check Box 16" hidden="1">
              <a:extLst>
                <a:ext uri="{63B3BB69-23CF-44E3-9099-C40C66FF867C}">
                  <a14:compatExt spid="_x0000_s22544"/>
                </a:ext>
                <a:ext uri="{FF2B5EF4-FFF2-40B4-BE49-F238E27FC236}">
                  <a16:creationId xmlns:a16="http://schemas.microsoft.com/office/drawing/2014/main" id="{00000000-0008-0000-0900-00001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gépkezelő, géptiszt vagy gépész képesítés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2</xdr:row>
          <xdr:rowOff>114300</xdr:rowOff>
        </xdr:from>
        <xdr:to>
          <xdr:col>7</xdr:col>
          <xdr:colOff>600075</xdr:colOff>
          <xdr:row>3</xdr:row>
          <xdr:rowOff>104775</xdr:rowOff>
        </xdr:to>
        <xdr:sp macro="" textlink="">
          <xdr:nvSpPr>
            <xdr:cNvPr id="22545" name="Check Box 17" hidden="1">
              <a:extLst>
                <a:ext uri="{63B3BB69-23CF-44E3-9099-C40C66FF867C}">
                  <a14:compatExt spid="_x0000_s22545"/>
                </a:ext>
                <a:ext uri="{FF2B5EF4-FFF2-40B4-BE49-F238E27FC236}">
                  <a16:creationId xmlns:a16="http://schemas.microsoft.com/office/drawing/2014/main" id="{00000000-0008-0000-0900-00001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Van  "A" vagy "B" vagy "C" kategóriájú hajóvezető vagy fedélzeti tiszt képesítés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11</xdr:row>
          <xdr:rowOff>161925</xdr:rowOff>
        </xdr:from>
        <xdr:to>
          <xdr:col>8</xdr:col>
          <xdr:colOff>904875</xdr:colOff>
          <xdr:row>13</xdr:row>
          <xdr:rowOff>9525</xdr:rowOff>
        </xdr:to>
        <xdr:sp macro="" textlink="">
          <xdr:nvSpPr>
            <xdr:cNvPr id="22546" name="Check Box 18" hidden="1">
              <a:extLst>
                <a:ext uri="{63B3BB69-23CF-44E3-9099-C40C66FF867C}">
                  <a14:compatExt spid="_x0000_s22546"/>
                </a:ext>
                <a:ext uri="{FF2B5EF4-FFF2-40B4-BE49-F238E27FC236}">
                  <a16:creationId xmlns:a16="http://schemas.microsoft.com/office/drawing/2014/main" id="{00000000-0008-0000-0900-00001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Rendelkezik hajózási képesítéssel és iskolarendszerű képzésben, a vizsgatárgyból azonos, vagy magasabb szinten sikeres vizsgát tett (felmentési kérelem)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7.xml"/><Relationship Id="rId13" Type="http://schemas.openxmlformats.org/officeDocument/2006/relationships/ctrlProp" Target="../ctrlProps/ctrlProp72.xml"/><Relationship Id="rId3" Type="http://schemas.openxmlformats.org/officeDocument/2006/relationships/vmlDrawing" Target="../drawings/vmlDrawing9.vml"/><Relationship Id="rId7" Type="http://schemas.openxmlformats.org/officeDocument/2006/relationships/ctrlProp" Target="../ctrlProps/ctrlProp66.xml"/><Relationship Id="rId12" Type="http://schemas.openxmlformats.org/officeDocument/2006/relationships/ctrlProp" Target="../ctrlProps/ctrlProp71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65.xml"/><Relationship Id="rId11" Type="http://schemas.openxmlformats.org/officeDocument/2006/relationships/ctrlProp" Target="../ctrlProps/ctrlProp70.xml"/><Relationship Id="rId5" Type="http://schemas.openxmlformats.org/officeDocument/2006/relationships/ctrlProp" Target="../ctrlProps/ctrlProp64.xml"/><Relationship Id="rId10" Type="http://schemas.openxmlformats.org/officeDocument/2006/relationships/ctrlProp" Target="../ctrlProps/ctrlProp69.xml"/><Relationship Id="rId4" Type="http://schemas.openxmlformats.org/officeDocument/2006/relationships/ctrlProp" Target="../ctrlProps/ctrlProp63.xml"/><Relationship Id="rId9" Type="http://schemas.openxmlformats.org/officeDocument/2006/relationships/ctrlProp" Target="../ctrlProps/ctrlProp68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7.xml"/><Relationship Id="rId3" Type="http://schemas.openxmlformats.org/officeDocument/2006/relationships/vmlDrawing" Target="../drawings/vmlDrawing10.vml"/><Relationship Id="rId7" Type="http://schemas.openxmlformats.org/officeDocument/2006/relationships/ctrlProp" Target="../ctrlProps/ctrlProp76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75.xml"/><Relationship Id="rId5" Type="http://schemas.openxmlformats.org/officeDocument/2006/relationships/ctrlProp" Target="../ctrlProps/ctrlProp74.xml"/><Relationship Id="rId4" Type="http://schemas.openxmlformats.org/officeDocument/2006/relationships/ctrlProp" Target="../ctrlProps/ctrlProp73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2.xml"/><Relationship Id="rId13" Type="http://schemas.openxmlformats.org/officeDocument/2006/relationships/ctrlProp" Target="../ctrlProps/ctrlProp87.xml"/><Relationship Id="rId3" Type="http://schemas.openxmlformats.org/officeDocument/2006/relationships/vmlDrawing" Target="../drawings/vmlDrawing11.vml"/><Relationship Id="rId7" Type="http://schemas.openxmlformats.org/officeDocument/2006/relationships/ctrlProp" Target="../ctrlProps/ctrlProp81.xml"/><Relationship Id="rId12" Type="http://schemas.openxmlformats.org/officeDocument/2006/relationships/ctrlProp" Target="../ctrlProps/ctrlProp86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6" Type="http://schemas.openxmlformats.org/officeDocument/2006/relationships/ctrlProp" Target="../ctrlProps/ctrlProp80.xml"/><Relationship Id="rId11" Type="http://schemas.openxmlformats.org/officeDocument/2006/relationships/ctrlProp" Target="../ctrlProps/ctrlProp85.xml"/><Relationship Id="rId5" Type="http://schemas.openxmlformats.org/officeDocument/2006/relationships/ctrlProp" Target="../ctrlProps/ctrlProp79.xml"/><Relationship Id="rId10" Type="http://schemas.openxmlformats.org/officeDocument/2006/relationships/ctrlProp" Target="../ctrlProps/ctrlProp84.xml"/><Relationship Id="rId4" Type="http://schemas.openxmlformats.org/officeDocument/2006/relationships/ctrlProp" Target="../ctrlProps/ctrlProp78.xml"/><Relationship Id="rId9" Type="http://schemas.openxmlformats.org/officeDocument/2006/relationships/ctrlProp" Target="../ctrlProps/ctrlProp83.xml"/><Relationship Id="rId14" Type="http://schemas.openxmlformats.org/officeDocument/2006/relationships/ctrlProp" Target="../ctrlProps/ctrlProp88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3.xml"/><Relationship Id="rId3" Type="http://schemas.openxmlformats.org/officeDocument/2006/relationships/vmlDrawing" Target="../drawings/vmlDrawing12.vml"/><Relationship Id="rId7" Type="http://schemas.openxmlformats.org/officeDocument/2006/relationships/ctrlProp" Target="../ctrlProps/ctrlProp92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Relationship Id="rId6" Type="http://schemas.openxmlformats.org/officeDocument/2006/relationships/ctrlProp" Target="../ctrlProps/ctrlProp91.xml"/><Relationship Id="rId5" Type="http://schemas.openxmlformats.org/officeDocument/2006/relationships/ctrlProp" Target="../ctrlProps/ctrlProp90.xml"/><Relationship Id="rId4" Type="http://schemas.openxmlformats.org/officeDocument/2006/relationships/ctrlProp" Target="../ctrlProps/ctrlProp89.xml"/><Relationship Id="rId9" Type="http://schemas.openxmlformats.org/officeDocument/2006/relationships/ctrlProp" Target="../ctrlProps/ctrlProp9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6.bin"/><Relationship Id="rId6" Type="http://schemas.openxmlformats.org/officeDocument/2006/relationships/ctrlProp" Target="../ctrlProps/ctrlProp97.xml"/><Relationship Id="rId5" Type="http://schemas.openxmlformats.org/officeDocument/2006/relationships/ctrlProp" Target="../ctrlProps/ctrlProp96.xml"/><Relationship Id="rId4" Type="http://schemas.openxmlformats.org/officeDocument/2006/relationships/ctrlProp" Target="../ctrlProps/ctrlProp95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7" Type="http://schemas.openxmlformats.org/officeDocument/2006/relationships/ctrlProp" Target="../ctrlProps/ctrlProp101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Relationship Id="rId6" Type="http://schemas.openxmlformats.org/officeDocument/2006/relationships/ctrlProp" Target="../ctrlProps/ctrlProp100.xml"/><Relationship Id="rId5" Type="http://schemas.openxmlformats.org/officeDocument/2006/relationships/ctrlProp" Target="../ctrlProps/ctrlProp99.xml"/><Relationship Id="rId4" Type="http://schemas.openxmlformats.org/officeDocument/2006/relationships/ctrlProp" Target="../ctrlProps/ctrlProp98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7" Type="http://schemas.openxmlformats.org/officeDocument/2006/relationships/ctrlProp" Target="../ctrlProps/ctrlProp105.x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8.bin"/><Relationship Id="rId6" Type="http://schemas.openxmlformats.org/officeDocument/2006/relationships/ctrlProp" Target="../ctrlProps/ctrlProp104.xml"/><Relationship Id="rId5" Type="http://schemas.openxmlformats.org/officeDocument/2006/relationships/ctrlProp" Target="../ctrlProps/ctrlProp103.xml"/><Relationship Id="rId4" Type="http://schemas.openxmlformats.org/officeDocument/2006/relationships/ctrlProp" Target="../ctrlProps/ctrlProp102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9.bin"/><Relationship Id="rId4" Type="http://schemas.openxmlformats.org/officeDocument/2006/relationships/ctrlProp" Target="../ctrlProps/ctrlProp10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0.bin"/><Relationship Id="rId4" Type="http://schemas.openxmlformats.org/officeDocument/2006/relationships/ctrlProp" Target="../ctrlProps/ctrlProp107.xm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2.xml"/><Relationship Id="rId3" Type="http://schemas.openxmlformats.org/officeDocument/2006/relationships/vmlDrawing" Target="../drawings/vmlDrawing18.vml"/><Relationship Id="rId7" Type="http://schemas.openxmlformats.org/officeDocument/2006/relationships/ctrlProp" Target="../ctrlProps/ctrlProp111.x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1.bin"/><Relationship Id="rId6" Type="http://schemas.openxmlformats.org/officeDocument/2006/relationships/ctrlProp" Target="../ctrlProps/ctrlProp110.xml"/><Relationship Id="rId5" Type="http://schemas.openxmlformats.org/officeDocument/2006/relationships/ctrlProp" Target="../ctrlProps/ctrlProp109.xml"/><Relationship Id="rId4" Type="http://schemas.openxmlformats.org/officeDocument/2006/relationships/ctrlProp" Target="../ctrlProps/ctrlProp108.xml"/><Relationship Id="rId9" Type="http://schemas.openxmlformats.org/officeDocument/2006/relationships/ctrlProp" Target="../ctrlProps/ctrlProp113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2.bin"/><Relationship Id="rId6" Type="http://schemas.openxmlformats.org/officeDocument/2006/relationships/ctrlProp" Target="../ctrlProps/ctrlProp116.xml"/><Relationship Id="rId5" Type="http://schemas.openxmlformats.org/officeDocument/2006/relationships/ctrlProp" Target="../ctrlProps/ctrlProp115.xml"/><Relationship Id="rId4" Type="http://schemas.openxmlformats.org/officeDocument/2006/relationships/ctrlProp" Target="../ctrlProps/ctrlProp114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7" Type="http://schemas.openxmlformats.org/officeDocument/2006/relationships/ctrlProp" Target="../ctrlProps/ctrlProp120.x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3.bin"/><Relationship Id="rId6" Type="http://schemas.openxmlformats.org/officeDocument/2006/relationships/ctrlProp" Target="../ctrlProps/ctrlProp119.xml"/><Relationship Id="rId5" Type="http://schemas.openxmlformats.org/officeDocument/2006/relationships/ctrlProp" Target="../ctrlProps/ctrlProp118.xml"/><Relationship Id="rId4" Type="http://schemas.openxmlformats.org/officeDocument/2006/relationships/ctrlProp" Target="../ctrlProps/ctrlProp117.xml"/></Relationships>
</file>

<file path=xl/worksheets/_rels/sheet2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5.xml"/><Relationship Id="rId13" Type="http://schemas.openxmlformats.org/officeDocument/2006/relationships/ctrlProp" Target="../ctrlProps/ctrlProp130.xml"/><Relationship Id="rId3" Type="http://schemas.openxmlformats.org/officeDocument/2006/relationships/vmlDrawing" Target="../drawings/vmlDrawing21.vml"/><Relationship Id="rId7" Type="http://schemas.openxmlformats.org/officeDocument/2006/relationships/ctrlProp" Target="../ctrlProps/ctrlProp124.xml"/><Relationship Id="rId12" Type="http://schemas.openxmlformats.org/officeDocument/2006/relationships/ctrlProp" Target="../ctrlProps/ctrlProp129.x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4.bin"/><Relationship Id="rId6" Type="http://schemas.openxmlformats.org/officeDocument/2006/relationships/ctrlProp" Target="../ctrlProps/ctrlProp123.xml"/><Relationship Id="rId11" Type="http://schemas.openxmlformats.org/officeDocument/2006/relationships/ctrlProp" Target="../ctrlProps/ctrlProp128.xml"/><Relationship Id="rId5" Type="http://schemas.openxmlformats.org/officeDocument/2006/relationships/ctrlProp" Target="../ctrlProps/ctrlProp122.xml"/><Relationship Id="rId10" Type="http://schemas.openxmlformats.org/officeDocument/2006/relationships/ctrlProp" Target="../ctrlProps/ctrlProp127.xml"/><Relationship Id="rId4" Type="http://schemas.openxmlformats.org/officeDocument/2006/relationships/ctrlProp" Target="../ctrlProps/ctrlProp121.xml"/><Relationship Id="rId9" Type="http://schemas.openxmlformats.org/officeDocument/2006/relationships/ctrlProp" Target="../ctrlProps/ctrlProp126.xml"/><Relationship Id="rId14" Type="http://schemas.openxmlformats.org/officeDocument/2006/relationships/ctrlProp" Target="../ctrlProps/ctrlProp131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5.bin"/><Relationship Id="rId6" Type="http://schemas.openxmlformats.org/officeDocument/2006/relationships/ctrlProp" Target="../ctrlProps/ctrlProp134.xml"/><Relationship Id="rId5" Type="http://schemas.openxmlformats.org/officeDocument/2006/relationships/ctrlProp" Target="../ctrlProps/ctrlProp133.xml"/><Relationship Id="rId4" Type="http://schemas.openxmlformats.org/officeDocument/2006/relationships/ctrlProp" Target="../ctrlProps/ctrlProp132.xml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9.xml"/><Relationship Id="rId3" Type="http://schemas.openxmlformats.org/officeDocument/2006/relationships/vmlDrawing" Target="../drawings/vmlDrawing23.vml"/><Relationship Id="rId7" Type="http://schemas.openxmlformats.org/officeDocument/2006/relationships/ctrlProp" Target="../ctrlProps/ctrlProp138.xml"/><Relationship Id="rId12" Type="http://schemas.openxmlformats.org/officeDocument/2006/relationships/ctrlProp" Target="../ctrlProps/ctrlProp143.x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6.bin"/><Relationship Id="rId6" Type="http://schemas.openxmlformats.org/officeDocument/2006/relationships/ctrlProp" Target="../ctrlProps/ctrlProp137.xml"/><Relationship Id="rId11" Type="http://schemas.openxmlformats.org/officeDocument/2006/relationships/ctrlProp" Target="../ctrlProps/ctrlProp142.xml"/><Relationship Id="rId5" Type="http://schemas.openxmlformats.org/officeDocument/2006/relationships/ctrlProp" Target="../ctrlProps/ctrlProp136.xml"/><Relationship Id="rId10" Type="http://schemas.openxmlformats.org/officeDocument/2006/relationships/ctrlProp" Target="../ctrlProps/ctrlProp141.xml"/><Relationship Id="rId4" Type="http://schemas.openxmlformats.org/officeDocument/2006/relationships/ctrlProp" Target="../ctrlProps/ctrlProp135.xml"/><Relationship Id="rId9" Type="http://schemas.openxmlformats.org/officeDocument/2006/relationships/ctrlProp" Target="../ctrlProps/ctrlProp140.xml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8.xml"/><Relationship Id="rId3" Type="http://schemas.openxmlformats.org/officeDocument/2006/relationships/vmlDrawing" Target="../drawings/vmlDrawing24.vml"/><Relationship Id="rId7" Type="http://schemas.openxmlformats.org/officeDocument/2006/relationships/ctrlProp" Target="../ctrlProps/ctrlProp147.x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7.bin"/><Relationship Id="rId6" Type="http://schemas.openxmlformats.org/officeDocument/2006/relationships/ctrlProp" Target="../ctrlProps/ctrlProp146.xml"/><Relationship Id="rId11" Type="http://schemas.openxmlformats.org/officeDocument/2006/relationships/ctrlProp" Target="../ctrlProps/ctrlProp151.xml"/><Relationship Id="rId5" Type="http://schemas.openxmlformats.org/officeDocument/2006/relationships/ctrlProp" Target="../ctrlProps/ctrlProp145.xml"/><Relationship Id="rId10" Type="http://schemas.openxmlformats.org/officeDocument/2006/relationships/ctrlProp" Target="../ctrlProps/ctrlProp150.xml"/><Relationship Id="rId4" Type="http://schemas.openxmlformats.org/officeDocument/2006/relationships/ctrlProp" Target="../ctrlProps/ctrlProp144.xml"/><Relationship Id="rId9" Type="http://schemas.openxmlformats.org/officeDocument/2006/relationships/ctrlProp" Target="../ctrlProps/ctrlProp149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8.bin"/><Relationship Id="rId4" Type="http://schemas.openxmlformats.org/officeDocument/2006/relationships/ctrlProp" Target="../ctrlProps/ctrlProp152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9.bin"/><Relationship Id="rId4" Type="http://schemas.openxmlformats.org/officeDocument/2006/relationships/ctrlProp" Target="../ctrlProps/ctrlProp15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2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0.bin"/><Relationship Id="rId4" Type="http://schemas.openxmlformats.org/officeDocument/2006/relationships/ctrlProp" Target="../ctrlProps/ctrlProp154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8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1.bin"/><Relationship Id="rId4" Type="http://schemas.openxmlformats.org/officeDocument/2006/relationships/ctrlProp" Target="../ctrlProps/ctrlProp155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9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2.bin"/><Relationship Id="rId4" Type="http://schemas.openxmlformats.org/officeDocument/2006/relationships/ctrlProp" Target="../ctrlProps/ctrlProp156.xml"/></Relationships>
</file>

<file path=xl/worksheets/_rels/sheet3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2.xml"/><Relationship Id="rId13" Type="http://schemas.openxmlformats.org/officeDocument/2006/relationships/ctrlProp" Target="../ctrlProps/ctrlProp167.xml"/><Relationship Id="rId18" Type="http://schemas.openxmlformats.org/officeDocument/2006/relationships/ctrlProp" Target="../ctrlProps/ctrlProp172.xml"/><Relationship Id="rId26" Type="http://schemas.openxmlformats.org/officeDocument/2006/relationships/ctrlProp" Target="../ctrlProps/ctrlProp180.xml"/><Relationship Id="rId3" Type="http://schemas.openxmlformats.org/officeDocument/2006/relationships/ctrlProp" Target="../ctrlProps/ctrlProp157.xml"/><Relationship Id="rId21" Type="http://schemas.openxmlformats.org/officeDocument/2006/relationships/ctrlProp" Target="../ctrlProps/ctrlProp175.xml"/><Relationship Id="rId7" Type="http://schemas.openxmlformats.org/officeDocument/2006/relationships/ctrlProp" Target="../ctrlProps/ctrlProp161.xml"/><Relationship Id="rId12" Type="http://schemas.openxmlformats.org/officeDocument/2006/relationships/ctrlProp" Target="../ctrlProps/ctrlProp166.xml"/><Relationship Id="rId17" Type="http://schemas.openxmlformats.org/officeDocument/2006/relationships/ctrlProp" Target="../ctrlProps/ctrlProp171.xml"/><Relationship Id="rId25" Type="http://schemas.openxmlformats.org/officeDocument/2006/relationships/ctrlProp" Target="../ctrlProps/ctrlProp179.xml"/><Relationship Id="rId2" Type="http://schemas.openxmlformats.org/officeDocument/2006/relationships/vmlDrawing" Target="../drawings/vmlDrawing30.vml"/><Relationship Id="rId16" Type="http://schemas.openxmlformats.org/officeDocument/2006/relationships/ctrlProp" Target="../ctrlProps/ctrlProp170.xml"/><Relationship Id="rId20" Type="http://schemas.openxmlformats.org/officeDocument/2006/relationships/ctrlProp" Target="../ctrlProps/ctrlProp174.xml"/><Relationship Id="rId29" Type="http://schemas.openxmlformats.org/officeDocument/2006/relationships/ctrlProp" Target="../ctrlProps/ctrlProp183.xml"/><Relationship Id="rId1" Type="http://schemas.openxmlformats.org/officeDocument/2006/relationships/drawing" Target="../drawings/drawing30.xml"/><Relationship Id="rId6" Type="http://schemas.openxmlformats.org/officeDocument/2006/relationships/ctrlProp" Target="../ctrlProps/ctrlProp160.xml"/><Relationship Id="rId11" Type="http://schemas.openxmlformats.org/officeDocument/2006/relationships/ctrlProp" Target="../ctrlProps/ctrlProp165.xml"/><Relationship Id="rId24" Type="http://schemas.openxmlformats.org/officeDocument/2006/relationships/ctrlProp" Target="../ctrlProps/ctrlProp178.xml"/><Relationship Id="rId5" Type="http://schemas.openxmlformats.org/officeDocument/2006/relationships/ctrlProp" Target="../ctrlProps/ctrlProp159.xml"/><Relationship Id="rId15" Type="http://schemas.openxmlformats.org/officeDocument/2006/relationships/ctrlProp" Target="../ctrlProps/ctrlProp169.xml"/><Relationship Id="rId23" Type="http://schemas.openxmlformats.org/officeDocument/2006/relationships/ctrlProp" Target="../ctrlProps/ctrlProp177.xml"/><Relationship Id="rId28" Type="http://schemas.openxmlformats.org/officeDocument/2006/relationships/ctrlProp" Target="../ctrlProps/ctrlProp182.xml"/><Relationship Id="rId10" Type="http://schemas.openxmlformats.org/officeDocument/2006/relationships/ctrlProp" Target="../ctrlProps/ctrlProp164.xml"/><Relationship Id="rId19" Type="http://schemas.openxmlformats.org/officeDocument/2006/relationships/ctrlProp" Target="../ctrlProps/ctrlProp173.xml"/><Relationship Id="rId31" Type="http://schemas.openxmlformats.org/officeDocument/2006/relationships/ctrlProp" Target="../ctrlProps/ctrlProp185.xml"/><Relationship Id="rId4" Type="http://schemas.openxmlformats.org/officeDocument/2006/relationships/ctrlProp" Target="../ctrlProps/ctrlProp158.xml"/><Relationship Id="rId9" Type="http://schemas.openxmlformats.org/officeDocument/2006/relationships/ctrlProp" Target="../ctrlProps/ctrlProp163.xml"/><Relationship Id="rId14" Type="http://schemas.openxmlformats.org/officeDocument/2006/relationships/ctrlProp" Target="../ctrlProps/ctrlProp168.xml"/><Relationship Id="rId22" Type="http://schemas.openxmlformats.org/officeDocument/2006/relationships/ctrlProp" Target="../ctrlProps/ctrlProp176.xml"/><Relationship Id="rId27" Type="http://schemas.openxmlformats.org/officeDocument/2006/relationships/ctrlProp" Target="../ctrlProps/ctrlProp181.xml"/><Relationship Id="rId30" Type="http://schemas.openxmlformats.org/officeDocument/2006/relationships/ctrlProp" Target="../ctrlProps/ctrlProp18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1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14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9.xml"/><Relationship Id="rId13" Type="http://schemas.openxmlformats.org/officeDocument/2006/relationships/ctrlProp" Target="../ctrlProps/ctrlProp24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18.xml"/><Relationship Id="rId12" Type="http://schemas.openxmlformats.org/officeDocument/2006/relationships/ctrlProp" Target="../ctrlProps/ctrlProp23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17.xml"/><Relationship Id="rId11" Type="http://schemas.openxmlformats.org/officeDocument/2006/relationships/ctrlProp" Target="../ctrlProps/ctrlProp22.xml"/><Relationship Id="rId5" Type="http://schemas.openxmlformats.org/officeDocument/2006/relationships/ctrlProp" Target="../ctrlProps/ctrlProp16.xml"/><Relationship Id="rId15" Type="http://schemas.openxmlformats.org/officeDocument/2006/relationships/ctrlProp" Target="../ctrlProps/ctrlProp26.xml"/><Relationship Id="rId10" Type="http://schemas.openxmlformats.org/officeDocument/2006/relationships/ctrlProp" Target="../ctrlProps/ctrlProp21.xml"/><Relationship Id="rId4" Type="http://schemas.openxmlformats.org/officeDocument/2006/relationships/ctrlProp" Target="../ctrlProps/ctrlProp15.xml"/><Relationship Id="rId9" Type="http://schemas.openxmlformats.org/officeDocument/2006/relationships/ctrlProp" Target="../ctrlProps/ctrlProp20.xml"/><Relationship Id="rId14" Type="http://schemas.openxmlformats.org/officeDocument/2006/relationships/ctrlProp" Target="../ctrlProps/ctrlProp25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1.xml"/><Relationship Id="rId13" Type="http://schemas.openxmlformats.org/officeDocument/2006/relationships/ctrlProp" Target="../ctrlProps/ctrlProp36.xml"/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30.xml"/><Relationship Id="rId12" Type="http://schemas.openxmlformats.org/officeDocument/2006/relationships/ctrlProp" Target="../ctrlProps/ctrlProp35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39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29.xml"/><Relationship Id="rId11" Type="http://schemas.openxmlformats.org/officeDocument/2006/relationships/ctrlProp" Target="../ctrlProps/ctrlProp34.xml"/><Relationship Id="rId5" Type="http://schemas.openxmlformats.org/officeDocument/2006/relationships/ctrlProp" Target="../ctrlProps/ctrlProp28.xml"/><Relationship Id="rId15" Type="http://schemas.openxmlformats.org/officeDocument/2006/relationships/ctrlProp" Target="../ctrlProps/ctrlProp38.xml"/><Relationship Id="rId10" Type="http://schemas.openxmlformats.org/officeDocument/2006/relationships/ctrlProp" Target="../ctrlProps/ctrlProp33.xml"/><Relationship Id="rId4" Type="http://schemas.openxmlformats.org/officeDocument/2006/relationships/ctrlProp" Target="../ctrlProps/ctrlProp27.xml"/><Relationship Id="rId9" Type="http://schemas.openxmlformats.org/officeDocument/2006/relationships/ctrlProp" Target="../ctrlProps/ctrlProp32.xml"/><Relationship Id="rId14" Type="http://schemas.openxmlformats.org/officeDocument/2006/relationships/ctrlProp" Target="../ctrlProps/ctrlProp3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4.xml"/><Relationship Id="rId13" Type="http://schemas.openxmlformats.org/officeDocument/2006/relationships/ctrlProp" Target="../ctrlProps/ctrlProp49.xml"/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43.xml"/><Relationship Id="rId12" Type="http://schemas.openxmlformats.org/officeDocument/2006/relationships/ctrlProp" Target="../ctrlProps/ctrlProp48.xml"/><Relationship Id="rId17" Type="http://schemas.openxmlformats.org/officeDocument/2006/relationships/ctrlProp" Target="../ctrlProps/ctrlProp53.xml"/><Relationship Id="rId2" Type="http://schemas.openxmlformats.org/officeDocument/2006/relationships/drawing" Target="../drawings/drawing7.xml"/><Relationship Id="rId16" Type="http://schemas.openxmlformats.org/officeDocument/2006/relationships/ctrlProp" Target="../ctrlProps/ctrlProp52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42.xml"/><Relationship Id="rId11" Type="http://schemas.openxmlformats.org/officeDocument/2006/relationships/ctrlProp" Target="../ctrlProps/ctrlProp47.xml"/><Relationship Id="rId5" Type="http://schemas.openxmlformats.org/officeDocument/2006/relationships/ctrlProp" Target="../ctrlProps/ctrlProp41.xml"/><Relationship Id="rId15" Type="http://schemas.openxmlformats.org/officeDocument/2006/relationships/ctrlProp" Target="../ctrlProps/ctrlProp51.xml"/><Relationship Id="rId10" Type="http://schemas.openxmlformats.org/officeDocument/2006/relationships/ctrlProp" Target="../ctrlProps/ctrlProp46.xml"/><Relationship Id="rId4" Type="http://schemas.openxmlformats.org/officeDocument/2006/relationships/ctrlProp" Target="../ctrlProps/ctrlProp40.xml"/><Relationship Id="rId9" Type="http://schemas.openxmlformats.org/officeDocument/2006/relationships/ctrlProp" Target="../ctrlProps/ctrlProp45.xml"/><Relationship Id="rId14" Type="http://schemas.openxmlformats.org/officeDocument/2006/relationships/ctrlProp" Target="../ctrlProps/ctrlProp50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8.xml"/><Relationship Id="rId3" Type="http://schemas.openxmlformats.org/officeDocument/2006/relationships/vmlDrawing" Target="../drawings/vmlDrawing8.vml"/><Relationship Id="rId7" Type="http://schemas.openxmlformats.org/officeDocument/2006/relationships/ctrlProp" Target="../ctrlProps/ctrlProp57.xml"/><Relationship Id="rId12" Type="http://schemas.openxmlformats.org/officeDocument/2006/relationships/ctrlProp" Target="../ctrlProps/ctrlProp62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56.xml"/><Relationship Id="rId11" Type="http://schemas.openxmlformats.org/officeDocument/2006/relationships/ctrlProp" Target="../ctrlProps/ctrlProp61.xml"/><Relationship Id="rId5" Type="http://schemas.openxmlformats.org/officeDocument/2006/relationships/ctrlProp" Target="../ctrlProps/ctrlProp55.xml"/><Relationship Id="rId10" Type="http://schemas.openxmlformats.org/officeDocument/2006/relationships/ctrlProp" Target="../ctrlProps/ctrlProp60.xml"/><Relationship Id="rId4" Type="http://schemas.openxmlformats.org/officeDocument/2006/relationships/ctrlProp" Target="../ctrlProps/ctrlProp54.xml"/><Relationship Id="rId9" Type="http://schemas.openxmlformats.org/officeDocument/2006/relationships/ctrlProp" Target="../ctrlProps/ctrlProp5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/>
  <dimension ref="A1:K44"/>
  <sheetViews>
    <sheetView tabSelected="1" zoomScale="110" zoomScaleNormal="110" workbookViewId="0">
      <selection activeCell="F9" sqref="F9"/>
    </sheetView>
  </sheetViews>
  <sheetFormatPr defaultRowHeight="15" x14ac:dyDescent="0.25"/>
  <cols>
    <col min="1" max="1" width="2" customWidth="1"/>
    <col min="2" max="2" width="40.7109375" style="19" customWidth="1"/>
    <col min="3" max="3" width="2.42578125" style="19" customWidth="1"/>
    <col min="4" max="4" width="2.140625" style="19" customWidth="1"/>
    <col min="5" max="5" width="3.42578125" customWidth="1"/>
    <col min="6" max="6" width="45.5703125" customWidth="1"/>
    <col min="7" max="7" width="1.42578125" customWidth="1"/>
    <col min="8" max="8" width="43.42578125" customWidth="1"/>
    <col min="9" max="9" width="3.42578125" customWidth="1"/>
  </cols>
  <sheetData>
    <row r="1" spans="1:10" ht="24.95" customHeight="1" x14ac:dyDescent="0.25">
      <c r="B1" s="142" t="s">
        <v>255</v>
      </c>
      <c r="C1" s="142"/>
      <c r="D1" s="142"/>
      <c r="E1" s="142"/>
      <c r="F1" s="142"/>
      <c r="G1" s="142"/>
      <c r="H1" s="142"/>
    </row>
    <row r="2" spans="1:10" ht="15" customHeight="1" x14ac:dyDescent="0.25">
      <c r="A2" s="8"/>
      <c r="B2" s="115" t="s">
        <v>253</v>
      </c>
      <c r="C2" s="115"/>
      <c r="D2" s="114"/>
      <c r="E2" s="115"/>
      <c r="F2" s="146" t="s">
        <v>254</v>
      </c>
      <c r="G2" s="146"/>
      <c r="H2" s="146"/>
      <c r="I2" s="8"/>
    </row>
    <row r="3" spans="1:10" ht="31.5" customHeight="1" x14ac:dyDescent="0.25">
      <c r="A3" s="8"/>
      <c r="B3" s="111" t="s">
        <v>115</v>
      </c>
      <c r="C3" s="116"/>
      <c r="D3" s="117"/>
      <c r="E3" s="115"/>
      <c r="F3" s="111" t="s">
        <v>259</v>
      </c>
      <c r="G3" s="8"/>
      <c r="H3" s="113" t="s">
        <v>257</v>
      </c>
      <c r="I3" s="8"/>
    </row>
    <row r="4" spans="1:10" ht="31.5" customHeight="1" x14ac:dyDescent="0.25">
      <c r="A4" s="8"/>
      <c r="B4" s="112" t="s">
        <v>120</v>
      </c>
      <c r="C4" s="118"/>
      <c r="D4" s="119"/>
      <c r="E4" s="115"/>
      <c r="F4" s="111" t="s">
        <v>141</v>
      </c>
      <c r="G4" s="8"/>
      <c r="H4" s="111" t="s">
        <v>262</v>
      </c>
      <c r="I4" s="120"/>
    </row>
    <row r="5" spans="1:10" ht="31.5" customHeight="1" x14ac:dyDescent="0.25">
      <c r="A5" s="8"/>
      <c r="B5" s="111" t="s">
        <v>122</v>
      </c>
      <c r="C5" s="116"/>
      <c r="D5" s="117"/>
      <c r="E5" s="115"/>
      <c r="F5" s="111" t="s">
        <v>148</v>
      </c>
      <c r="G5" s="8"/>
      <c r="H5" s="111" t="s">
        <v>263</v>
      </c>
      <c r="I5" s="120"/>
    </row>
    <row r="6" spans="1:10" ht="31.5" customHeight="1" x14ac:dyDescent="0.25">
      <c r="A6" s="8"/>
      <c r="B6" s="111" t="s">
        <v>16</v>
      </c>
      <c r="C6" s="116"/>
      <c r="E6" s="115"/>
      <c r="F6" s="111" t="s">
        <v>152</v>
      </c>
      <c r="G6" s="8"/>
      <c r="H6" s="112" t="s">
        <v>264</v>
      </c>
      <c r="I6" s="120"/>
    </row>
    <row r="7" spans="1:10" ht="31.5" customHeight="1" x14ac:dyDescent="0.25">
      <c r="A7" s="8"/>
      <c r="B7" s="111" t="s">
        <v>0</v>
      </c>
      <c r="C7" s="116"/>
      <c r="D7" s="117"/>
      <c r="E7" s="115"/>
      <c r="F7" s="111" t="s">
        <v>156</v>
      </c>
      <c r="G7" s="8"/>
      <c r="H7" s="111" t="s">
        <v>289</v>
      </c>
      <c r="I7" s="120"/>
    </row>
    <row r="8" spans="1:10" s="121" customFormat="1" ht="31.5" customHeight="1" x14ac:dyDescent="0.25">
      <c r="A8" s="120"/>
      <c r="B8" s="111" t="s">
        <v>15</v>
      </c>
      <c r="C8" s="116"/>
      <c r="D8" s="117"/>
      <c r="E8" s="120"/>
      <c r="F8" s="111" t="s">
        <v>158</v>
      </c>
      <c r="G8" s="120"/>
      <c r="H8" s="120"/>
      <c r="I8" s="120"/>
      <c r="J8"/>
    </row>
    <row r="9" spans="1:10" s="121" customFormat="1" ht="31.5" customHeight="1" x14ac:dyDescent="0.25">
      <c r="A9" s="120"/>
      <c r="B9" s="111" t="s">
        <v>17</v>
      </c>
      <c r="C9" s="116"/>
      <c r="D9" s="117"/>
      <c r="E9" s="120"/>
      <c r="F9" s="111" t="s">
        <v>189</v>
      </c>
      <c r="G9" s="120"/>
      <c r="H9" s="120"/>
      <c r="I9" s="120"/>
      <c r="J9"/>
    </row>
    <row r="10" spans="1:10" s="121" customFormat="1" ht="31.5" customHeight="1" x14ac:dyDescent="0.25">
      <c r="A10" s="120"/>
      <c r="B10" s="111" t="s">
        <v>26</v>
      </c>
      <c r="C10" s="116"/>
      <c r="D10" s="117"/>
      <c r="E10" s="120"/>
      <c r="F10" s="111" t="s">
        <v>168</v>
      </c>
      <c r="G10" s="120"/>
      <c r="H10" s="120"/>
      <c r="I10" s="120"/>
    </row>
    <row r="11" spans="1:10" s="121" customFormat="1" ht="31.5" customHeight="1" x14ac:dyDescent="0.25">
      <c r="A11" s="120"/>
      <c r="B11" s="111" t="s">
        <v>29</v>
      </c>
      <c r="C11" s="116"/>
      <c r="D11" s="117"/>
      <c r="E11" s="120"/>
      <c r="F11" s="113" t="s">
        <v>256</v>
      </c>
      <c r="G11" s="120"/>
      <c r="H11" s="120"/>
      <c r="I11" s="120"/>
    </row>
    <row r="12" spans="1:10" s="121" customFormat="1" ht="31.5" customHeight="1" x14ac:dyDescent="0.25">
      <c r="A12" s="120"/>
      <c r="B12" s="111" t="s">
        <v>34</v>
      </c>
      <c r="C12" s="116"/>
      <c r="D12" s="117"/>
      <c r="E12" s="120"/>
      <c r="F12" s="113" t="s">
        <v>258</v>
      </c>
      <c r="G12" s="120"/>
      <c r="H12" s="120"/>
      <c r="I12" s="120"/>
    </row>
    <row r="13" spans="1:10" s="121" customFormat="1" ht="31.5" customHeight="1" x14ac:dyDescent="0.25">
      <c r="A13" s="120"/>
      <c r="B13" s="120"/>
      <c r="C13" s="120"/>
      <c r="E13" s="120"/>
      <c r="F13" s="111" t="s">
        <v>40</v>
      </c>
      <c r="G13" s="120"/>
      <c r="H13" s="111" t="s">
        <v>174</v>
      </c>
      <c r="I13" s="120"/>
    </row>
    <row r="14" spans="1:10" s="121" customFormat="1" ht="31.5" customHeight="1" x14ac:dyDescent="0.25">
      <c r="E14" s="120"/>
      <c r="F14" s="111" t="s">
        <v>42</v>
      </c>
      <c r="G14" s="120"/>
      <c r="H14" s="111" t="s">
        <v>77</v>
      </c>
      <c r="I14" s="120"/>
    </row>
    <row r="15" spans="1:10" s="121" customFormat="1" ht="31.5" customHeight="1" x14ac:dyDescent="0.25">
      <c r="E15" s="120"/>
      <c r="F15" s="111" t="s">
        <v>58</v>
      </c>
      <c r="G15" s="120"/>
      <c r="H15" s="111" t="s">
        <v>78</v>
      </c>
      <c r="I15" s="120"/>
    </row>
    <row r="16" spans="1:10" s="121" customFormat="1" ht="18.95" customHeight="1" x14ac:dyDescent="0.25">
      <c r="E16" s="120"/>
      <c r="F16" s="120"/>
      <c r="G16" s="120"/>
      <c r="H16" s="120"/>
      <c r="I16" s="120"/>
    </row>
    <row r="17" spans="2:11" s="121" customFormat="1" ht="6.75" customHeight="1" x14ac:dyDescent="0.25"/>
    <row r="18" spans="2:11" s="121" customFormat="1" ht="21" customHeight="1" x14ac:dyDescent="0.25">
      <c r="B18" s="110" t="s">
        <v>261</v>
      </c>
      <c r="C18" s="122"/>
      <c r="D18" s="122"/>
      <c r="E18" s="143" t="s">
        <v>260</v>
      </c>
      <c r="F18" s="143"/>
      <c r="G18" s="143"/>
      <c r="H18" s="143"/>
      <c r="I18" s="143"/>
      <c r="J18" s="143"/>
      <c r="K18" s="143"/>
    </row>
    <row r="19" spans="2:11" s="19" customFormat="1" ht="12" customHeight="1" x14ac:dyDescent="0.25"/>
    <row r="20" spans="2:11" s="19" customFormat="1" ht="21" customHeight="1" x14ac:dyDescent="0.25"/>
    <row r="21" spans="2:11" s="19" customFormat="1" ht="21" customHeight="1" x14ac:dyDescent="0.25"/>
    <row r="22" spans="2:11" s="19" customFormat="1" ht="20.25" customHeight="1" x14ac:dyDescent="0.25"/>
    <row r="23" spans="2:11" x14ac:dyDescent="0.25">
      <c r="F23" s="19"/>
    </row>
    <row r="24" spans="2:11" ht="16.5" hidden="1" customHeight="1" x14ac:dyDescent="0.25">
      <c r="B24" s="144" t="s">
        <v>217</v>
      </c>
      <c r="C24" s="144"/>
      <c r="D24" s="144"/>
      <c r="E24" s="144"/>
      <c r="F24" s="141">
        <v>10900</v>
      </c>
    </row>
    <row r="25" spans="2:11" ht="16.5" hidden="1" customHeight="1" x14ac:dyDescent="0.25">
      <c r="B25" s="144" t="s">
        <v>218</v>
      </c>
      <c r="C25" s="144"/>
      <c r="D25" s="144"/>
      <c r="E25" s="144"/>
      <c r="F25" s="141">
        <v>10800</v>
      </c>
    </row>
    <row r="26" spans="2:11" ht="16.5" hidden="1" customHeight="1" x14ac:dyDescent="0.25">
      <c r="B26" s="144" t="s">
        <v>219</v>
      </c>
      <c r="C26" s="144"/>
      <c r="D26" s="144"/>
      <c r="E26" s="144"/>
      <c r="F26" s="141">
        <v>17400</v>
      </c>
    </row>
    <row r="27" spans="2:11" ht="16.5" hidden="1" customHeight="1" x14ac:dyDescent="0.25">
      <c r="B27" s="144" t="s">
        <v>220</v>
      </c>
      <c r="C27" s="144"/>
      <c r="D27" s="144"/>
      <c r="E27" s="144"/>
      <c r="F27" s="141">
        <v>17400</v>
      </c>
    </row>
    <row r="28" spans="2:11" ht="16.5" hidden="1" customHeight="1" x14ac:dyDescent="0.25">
      <c r="B28" s="144" t="s">
        <v>221</v>
      </c>
      <c r="C28" s="144"/>
      <c r="D28" s="144"/>
      <c r="E28" s="144"/>
      <c r="F28" s="141">
        <v>21800</v>
      </c>
    </row>
    <row r="29" spans="2:11" ht="16.5" hidden="1" customHeight="1" x14ac:dyDescent="0.25">
      <c r="B29" s="144" t="s">
        <v>222</v>
      </c>
      <c r="C29" s="144"/>
      <c r="D29" s="144"/>
      <c r="E29" s="144"/>
      <c r="F29" s="141">
        <v>28300</v>
      </c>
    </row>
    <row r="30" spans="2:11" ht="16.5" hidden="1" customHeight="1" x14ac:dyDescent="0.25">
      <c r="B30" s="144" t="s">
        <v>223</v>
      </c>
      <c r="C30" s="144"/>
      <c r="D30" s="144"/>
      <c r="E30" s="144"/>
      <c r="F30" s="141">
        <v>6500</v>
      </c>
    </row>
    <row r="31" spans="2:11" ht="16.5" hidden="1" customHeight="1" x14ac:dyDescent="0.25">
      <c r="B31" s="144" t="s">
        <v>233</v>
      </c>
      <c r="C31" s="144"/>
      <c r="D31" s="144"/>
      <c r="E31" s="144"/>
      <c r="F31" s="141">
        <v>16100</v>
      </c>
    </row>
    <row r="32" spans="2:11" ht="15" hidden="1" customHeight="1" x14ac:dyDescent="0.25">
      <c r="B32" s="144" t="s">
        <v>234</v>
      </c>
      <c r="C32" s="144"/>
      <c r="D32" s="144"/>
      <c r="E32" s="144"/>
      <c r="F32" s="141">
        <v>8700</v>
      </c>
    </row>
    <row r="33" spans="2:8" ht="16.5" hidden="1" customHeight="1" x14ac:dyDescent="0.25">
      <c r="B33" s="144" t="s">
        <v>235</v>
      </c>
      <c r="C33" s="144"/>
      <c r="D33" s="144"/>
      <c r="E33" s="144"/>
      <c r="F33" s="141">
        <v>17400</v>
      </c>
    </row>
    <row r="34" spans="2:8" x14ac:dyDescent="0.25">
      <c r="B34" s="144"/>
      <c r="C34" s="144"/>
      <c r="D34" s="144"/>
      <c r="E34" s="144"/>
    </row>
    <row r="39" spans="2:8" x14ac:dyDescent="0.25">
      <c r="B39" s="145"/>
      <c r="C39" s="145"/>
      <c r="D39" s="145"/>
      <c r="E39" s="145"/>
      <c r="F39" s="145"/>
      <c r="G39" s="145"/>
      <c r="H39" s="145"/>
    </row>
    <row r="40" spans="2:8" x14ac:dyDescent="0.25">
      <c r="B40" s="145"/>
      <c r="C40" s="145"/>
      <c r="D40" s="145"/>
      <c r="E40" s="145"/>
      <c r="F40" s="145"/>
      <c r="G40" s="145"/>
      <c r="H40" s="145"/>
    </row>
    <row r="41" spans="2:8" x14ac:dyDescent="0.25">
      <c r="B41" s="31"/>
    </row>
    <row r="42" spans="2:8" x14ac:dyDescent="0.25">
      <c r="B42" s="31"/>
    </row>
    <row r="43" spans="2:8" x14ac:dyDescent="0.25">
      <c r="B43" s="31"/>
    </row>
    <row r="44" spans="2:8" x14ac:dyDescent="0.25">
      <c r="B44" s="31"/>
    </row>
  </sheetData>
  <sheetProtection sheet="1" selectLockedCells="1"/>
  <protectedRanges>
    <protectedRange password="EFFA" sqref="B7:C7" name="Tartomány1"/>
    <protectedRange password="EFFA" sqref="B8:D8" name="Tartomány1_1"/>
    <protectedRange password="EFFA" sqref="B9:D9" name="Tartomány1_4"/>
    <protectedRange password="EFFA" sqref="B10:D10" name="Tartomány1_6"/>
    <protectedRange password="EFFA" sqref="B11:D11" name="Tartomány1_7"/>
    <protectedRange password="EFFA" sqref="B12:D12" name="Tartomány1_9"/>
    <protectedRange password="EFFA" sqref="B13:D13" name="Tartomány1_11"/>
    <protectedRange password="EFFA" sqref="F13" name="Tartomány1_12"/>
    <protectedRange password="EFFA" sqref="B15:D15" name="Tartomány1_13"/>
    <protectedRange password="EFFA" sqref="F14" name="Tartomány1_14"/>
  </protectedRanges>
  <mergeCells count="16">
    <mergeCell ref="B40:H40"/>
    <mergeCell ref="B39:H39"/>
    <mergeCell ref="B25:E25"/>
    <mergeCell ref="B24:E24"/>
    <mergeCell ref="F2:H2"/>
    <mergeCell ref="B1:H1"/>
    <mergeCell ref="E18:K18"/>
    <mergeCell ref="B34:E34"/>
    <mergeCell ref="B29:E29"/>
    <mergeCell ref="B30:E30"/>
    <mergeCell ref="B31:E31"/>
    <mergeCell ref="B26:E26"/>
    <mergeCell ref="B27:E27"/>
    <mergeCell ref="B28:E28"/>
    <mergeCell ref="B32:E32"/>
    <mergeCell ref="B33:E33"/>
  </mergeCells>
  <hyperlinks>
    <hyperlink ref="B6" location="Szolg.kgh.!A1" display="Szolgálati célú kisgéphajó vezető" xr:uid="{00000000-0004-0000-0000-000000000000}"/>
    <hyperlink ref="B7" location="Kgh.!A1" display="Hivatásos kisgéphajó vezető" xr:uid="{00000000-0004-0000-0000-000001000000}"/>
    <hyperlink ref="B8" location="Vit!A1" display="Hivatásos vitorlás kishajó vezető" xr:uid="{00000000-0004-0000-0000-000002000000}"/>
    <hyperlink ref="B9" location="UMG!A1" display="Úszómunkagép vezető" xr:uid="{00000000-0004-0000-0000-000005000000}"/>
    <hyperlink ref="B10" location="'GNH vez.'!A1" display="Gépnélküli hajóvezető" xr:uid="{00000000-0004-0000-0000-000007000000}"/>
    <hyperlink ref="B11" location="Révész!A1" display="Révész" xr:uid="{00000000-0004-0000-0000-000008000000}"/>
    <hyperlink ref="B12" location="'C'!A1" display="C kategóriájú hajóvezető" xr:uid="{00000000-0004-0000-0000-00000A000000}"/>
    <hyperlink ref="F13" location="ADN!A1" display="Veszélyes áru szállítási (ADN) szakértő" xr:uid="{00000000-0004-0000-0000-00000D000000}"/>
    <hyperlink ref="F14" location="Rádiókezelő!A1" display="Belvízi hajózási rádiótelefon kezelő" xr:uid="{00000000-0004-0000-0000-00000F000000}"/>
    <hyperlink ref="F15" location="HÜV!A1" display="Hajózási üzemeltetési vezető" xr:uid="{00000000-0004-0000-0000-000011000000}"/>
    <hyperlink ref="B18" location="Helyettesíthetőség!A1" display="A képesítések helyettesíthetőségének szabályai" xr:uid="{00000000-0004-0000-0000-000012000000}"/>
    <hyperlink ref="H14" location="Gkez.!A1" display="Gépkezelő" xr:uid="{00000000-0004-0000-0000-000013000000}"/>
    <hyperlink ref="H15" location="Géptiszt!A1" display="Géptiszt" xr:uid="{00000000-0004-0000-0000-000014000000}"/>
    <hyperlink ref="F3" location="Kedvtelési!A1" display="Belvízi kedvtelési célú kishajó-vezető" xr:uid="{00000000-0004-0000-0000-000015000000}"/>
    <hyperlink ref="B3" location="Matróz!A1" display="Matróz" xr:uid="{D6A7B762-EE35-42F3-854E-0AB29EFC00EC}"/>
    <hyperlink ref="B4" location="'Matróz-gk'!A1" display="'Matróz-gépkezelő" xr:uid="{B1F4C7B9-8238-4DF3-A39D-50EFF3394D98}"/>
    <hyperlink ref="B5" location="Fed.mester!A1" display="Fedélzetmester" xr:uid="{E06CEA48-6EFD-4C4A-BB62-C2C5A547E6E7}"/>
    <hyperlink ref="H4" location="'VV Ausztria'!A1" display="VV II. Ausztria (Duna)" xr:uid="{2DADBE86-6CBA-4456-82EB-874D16593DCC}"/>
    <hyperlink ref="H3" location="'VV III'!A1" display="VV III; Tengeri szakaszokon való hajóvezetésre jogosító különleges engedély (EU)" xr:uid="{7E4F8C0D-C66A-4217-910B-32A39661A9BF}"/>
    <hyperlink ref="F11" location="'Radar (EU)'!A1" display="RADARHAJÓS (EU); Radar segítségével történő hajóvezetésre jogosító különleges engedély (EU)" xr:uid="{35BF3FB5-7784-4F80-931C-EC51F0C5CD42}"/>
    <hyperlink ref="F4" location="'Gyakornok (EU)'!A1" display="'Gyakornok (EU)" xr:uid="{93578E45-96E3-4C89-BECB-5C0C121AAE0F}"/>
    <hyperlink ref="F5" location="'Tanuló matróz (EU)'!A1" display="'Tanuló matróz (EU)" xr:uid="{4344B1B7-A723-484A-A113-952558EC6B14}"/>
    <hyperlink ref="F6" location="'Matróz (EU)'!A1" display="'Matróz (EU)" xr:uid="{2AD4523B-82B0-4CC1-937C-CC83A9265AAA}"/>
    <hyperlink ref="F7" location="'Képesített matróz (EU)'!A1" display="'Képesített matróz (EU)" xr:uid="{FCC7B4DA-9CFF-4642-8165-17E0BECAA383}"/>
    <hyperlink ref="F8" location="'Kormányos (EU)'!A1" display="'Kormányos (EU)" xr:uid="{38F61512-3AB9-4914-9D2B-3B84D3A83634}"/>
    <hyperlink ref="F12" location="'Nagy kötelékek (EU)'!A1" display="NAGY KÖTELÉKEK vezetésére vonatkozó különleges engedély (EU)" xr:uid="{023FD590-6845-4FE6-AF5F-6AD1352EE5E5}"/>
    <hyperlink ref="F10" location="Személyhajózás!A1" display="Személyhajózási szakember (EU)" xr:uid="{CB77A35F-7B75-49CD-B4C9-98BC1BC9A187}"/>
    <hyperlink ref="H13" location="Gépész!A1" display="Gépész" xr:uid="{61C2B813-7EC9-4DD2-928C-844F48AEDC2E}"/>
    <hyperlink ref="H5" location="'VV Magyarország'!A1" display="VV II. Magyarország (Duna és Tisza)" xr:uid="{B5B3E36D-2911-422C-AC48-D93764F46214}"/>
    <hyperlink ref="F9" location="'Hajóvezető (EU)'!A1" display="Hajóvezető (EU)" xr:uid="{6FBB26F3-6548-4627-B6D3-16EA740EDAD5}"/>
    <hyperlink ref="H6" location="'VV Németország Duna'!A1" display="VV II. Németország (Duna)" xr:uid="{62E2DC59-394A-4C4A-AEAC-733F857C25AE}"/>
    <hyperlink ref="H7" location="'VV Rajna'!A1" display="VV II. Rajna" xr:uid="{CE9B4DC2-1787-4E82-BBB7-17A9A3C1E6B6}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Munka9">
    <tabColor rgb="FF00B0F0"/>
  </sheetPr>
  <dimension ref="A1:Q24"/>
  <sheetViews>
    <sheetView workbookViewId="0">
      <selection activeCell="Q10" sqref="Q10"/>
    </sheetView>
  </sheetViews>
  <sheetFormatPr defaultRowHeight="15" x14ac:dyDescent="0.25"/>
  <cols>
    <col min="1" max="1" width="3.42578125" customWidth="1"/>
    <col min="2" max="9" width="15.42578125" customWidth="1"/>
    <col min="10" max="10" width="5.85546875" customWidth="1"/>
    <col min="11" max="11" width="31.7109375" customWidth="1"/>
    <col min="12" max="12" width="3.140625" customWidth="1"/>
    <col min="13" max="16" width="11.5703125" customWidth="1"/>
    <col min="17" max="17" width="1.42578125" customWidth="1"/>
  </cols>
  <sheetData>
    <row r="1" spans="1:17" x14ac:dyDescent="0.25">
      <c r="A1" s="26" t="s">
        <v>43</v>
      </c>
      <c r="B1" s="147" t="s">
        <v>26</v>
      </c>
      <c r="C1" s="147"/>
      <c r="D1" s="147"/>
      <c r="E1" s="147"/>
      <c r="F1" s="147"/>
      <c r="G1" s="147"/>
      <c r="H1" s="147"/>
      <c r="I1" s="147"/>
      <c r="K1" s="5" t="s">
        <v>1</v>
      </c>
      <c r="M1" s="147" t="s">
        <v>6</v>
      </c>
      <c r="N1" s="147"/>
      <c r="O1" s="147"/>
      <c r="P1" s="147"/>
    </row>
    <row r="2" spans="1:17" ht="17.25" customHeight="1" x14ac:dyDescent="0.25">
      <c r="B2" s="176" t="s">
        <v>61</v>
      </c>
      <c r="C2" s="176"/>
      <c r="D2" s="176"/>
      <c r="E2" s="176"/>
      <c r="F2" s="176"/>
      <c r="G2" s="176"/>
      <c r="H2" s="176"/>
      <c r="I2" s="176"/>
      <c r="K2" s="1"/>
      <c r="Q2" s="24"/>
    </row>
    <row r="3" spans="1:17" ht="17.25" customHeight="1" x14ac:dyDescent="0.25">
      <c r="B3" s="8"/>
      <c r="C3" s="8"/>
      <c r="D3" s="8"/>
      <c r="E3" s="8"/>
      <c r="F3" s="8"/>
      <c r="G3" s="8"/>
      <c r="H3" s="8"/>
      <c r="I3" s="8"/>
      <c r="K3" s="149" t="str">
        <f>IF(Q10=TRUE,"Fedélzeti szolgálatban eltöltött 12 havi gyakorlat, amelynek legalább felét gépnélküli hajón kell eltölteni","Fedélzeti szolgálatban eltöltött 18 havi gyakorlat, amelynek legalább felét gépnélküli hajón kell eltölteni")</f>
        <v>Fedélzeti szolgálatban eltöltött 18 havi gyakorlat, amelynek legalább felét gépnélküli hajón kell eltölteni</v>
      </c>
      <c r="M3" s="175" t="str">
        <f>IF(I19=0,"Okmányigénylés","Írásos vizsgajelentkezési/felmentési kérelem")</f>
        <v>Írásos vizsgajelentkezési/felmentési kérelem</v>
      </c>
      <c r="N3" s="175"/>
      <c r="O3" s="175"/>
      <c r="P3" s="175"/>
      <c r="Q3" s="64" t="b">
        <v>0</v>
      </c>
    </row>
    <row r="4" spans="1:17" ht="17.25" customHeight="1" x14ac:dyDescent="0.25">
      <c r="B4" s="8"/>
      <c r="C4" s="8"/>
      <c r="D4" s="8"/>
      <c r="E4" s="8"/>
      <c r="F4" s="8"/>
      <c r="G4" s="8"/>
      <c r="H4" s="8"/>
      <c r="I4" s="8"/>
      <c r="K4" s="149"/>
      <c r="M4" s="178" t="s">
        <v>7</v>
      </c>
      <c r="N4" s="178"/>
      <c r="O4" s="178"/>
      <c r="P4" s="178"/>
      <c r="Q4" s="64" t="b">
        <v>0</v>
      </c>
    </row>
    <row r="5" spans="1:17" ht="17.25" customHeight="1" x14ac:dyDescent="0.25">
      <c r="B5" s="8"/>
      <c r="C5" s="8"/>
      <c r="D5" s="8"/>
      <c r="E5" s="8"/>
      <c r="F5" s="8"/>
      <c r="G5" s="8"/>
      <c r="H5" s="8"/>
      <c r="I5" s="8"/>
      <c r="K5" s="149"/>
      <c r="M5" s="178" t="s">
        <v>33</v>
      </c>
      <c r="N5" s="178"/>
      <c r="O5" s="178"/>
      <c r="P5" s="178"/>
      <c r="Q5" s="64" t="b">
        <v>0</v>
      </c>
    </row>
    <row r="6" spans="1:17" ht="17.25" customHeight="1" x14ac:dyDescent="0.25">
      <c r="B6" s="8"/>
      <c r="C6" s="8"/>
      <c r="D6" s="8"/>
      <c r="E6" s="8"/>
      <c r="F6" s="8"/>
      <c r="G6" s="8"/>
      <c r="H6" s="8"/>
      <c r="I6" s="8"/>
      <c r="K6" s="149"/>
      <c r="M6" s="175" t="s">
        <v>8</v>
      </c>
      <c r="N6" s="175"/>
      <c r="O6" s="175"/>
      <c r="P6" s="175"/>
      <c r="Q6" s="64"/>
    </row>
    <row r="7" spans="1:17" ht="17.25" customHeight="1" x14ac:dyDescent="0.25">
      <c r="B7" s="8"/>
      <c r="C7" s="8"/>
      <c r="D7" s="8"/>
      <c r="E7" s="8"/>
      <c r="F7" s="8"/>
      <c r="G7" s="8"/>
      <c r="H7" s="8"/>
      <c r="I7" s="8"/>
      <c r="K7" s="149"/>
      <c r="M7" s="175"/>
      <c r="N7" s="175"/>
      <c r="O7" s="175"/>
      <c r="P7" s="175"/>
      <c r="Q7" s="64" t="b">
        <v>0</v>
      </c>
    </row>
    <row r="8" spans="1:17" ht="17.25" customHeight="1" x14ac:dyDescent="0.25">
      <c r="B8" s="8"/>
      <c r="C8" s="8"/>
      <c r="D8" s="8"/>
      <c r="E8" s="8"/>
      <c r="F8" s="8"/>
      <c r="G8" s="8"/>
      <c r="H8" s="8"/>
      <c r="I8" s="8"/>
      <c r="K8" s="149"/>
      <c r="M8" s="175" t="str">
        <f>IF(I19=0,"",IF($Q$10=TRUE,"Bizonyítvány, képesítés, oklevél bemutatása","A vizsgatárgyakat magába foglaló képzésen való részvétel igazolása"))</f>
        <v>A vizsgatárgyakat magába foglaló képzésen való részvétel igazolása</v>
      </c>
      <c r="N8" s="175" t="str">
        <f t="shared" ref="N8:P9" si="0">IF($Q$10=TRUE,"Hajózási technikusi, vagy hajózási főiskolai oklevél bemutatása","A vizsgatárgyakat tartalmazó képzésen való részvétel igazolása")</f>
        <v>A vizsgatárgyakat tartalmazó képzésen való részvétel igazolása</v>
      </c>
      <c r="O8" s="175" t="str">
        <f t="shared" si="0"/>
        <v>A vizsgatárgyakat tartalmazó képzésen való részvétel igazolása</v>
      </c>
      <c r="P8" s="175" t="str">
        <f t="shared" si="0"/>
        <v>A vizsgatárgyakat tartalmazó képzésen való részvétel igazolása</v>
      </c>
      <c r="Q8" s="64" t="b">
        <v>0</v>
      </c>
    </row>
    <row r="9" spans="1:17" ht="17.25" customHeight="1" x14ac:dyDescent="0.25">
      <c r="B9" s="8"/>
      <c r="C9" s="8"/>
      <c r="D9" s="8"/>
      <c r="E9" s="8"/>
      <c r="F9" s="8"/>
      <c r="G9" s="8"/>
      <c r="H9" s="8"/>
      <c r="I9" s="8"/>
      <c r="K9" s="149"/>
      <c r="M9" s="175" t="str">
        <f>IF($Q$10=TRUE,"Hajózási technikusi, vagy hajózási főiskolai oklevél bemutatása","A vizsgatárgyakat tartalmazó képzésen való részvétel igazolása")</f>
        <v>A vizsgatárgyakat tartalmazó képzésen való részvétel igazolása</v>
      </c>
      <c r="N9" s="175" t="str">
        <f t="shared" si="0"/>
        <v>A vizsgatárgyakat tartalmazó képzésen való részvétel igazolása</v>
      </c>
      <c r="O9" s="175" t="str">
        <f t="shared" si="0"/>
        <v>A vizsgatárgyakat tartalmazó képzésen való részvétel igazolása</v>
      </c>
      <c r="P9" s="175" t="str">
        <f t="shared" si="0"/>
        <v>A vizsgatárgyakat tartalmazó képzésen való részvétel igazolása</v>
      </c>
      <c r="Q9" s="64" t="b">
        <v>0</v>
      </c>
    </row>
    <row r="10" spans="1:17" ht="17.25" customHeight="1" x14ac:dyDescent="0.25">
      <c r="B10" s="8"/>
      <c r="C10" s="8"/>
      <c r="D10" s="8"/>
      <c r="E10" s="8"/>
      <c r="F10" s="8"/>
      <c r="G10" s="8"/>
      <c r="H10" s="8"/>
      <c r="I10" s="8"/>
      <c r="J10" s="9"/>
      <c r="K10" s="149"/>
      <c r="M10" s="178" t="s">
        <v>110</v>
      </c>
      <c r="N10" s="178"/>
      <c r="O10" s="178"/>
      <c r="P10" s="178"/>
      <c r="Q10" s="64" t="b">
        <v>0</v>
      </c>
    </row>
    <row r="11" spans="1:17" ht="17.25" customHeight="1" x14ac:dyDescent="0.25">
      <c r="B11" s="8"/>
      <c r="C11" s="8"/>
      <c r="D11" s="8"/>
      <c r="E11" s="8"/>
      <c r="F11" s="8"/>
      <c r="G11" s="8"/>
      <c r="H11" s="8"/>
      <c r="I11" s="8"/>
      <c r="K11" s="149"/>
      <c r="M11" s="178"/>
      <c r="N11" s="178"/>
      <c r="O11" s="178"/>
      <c r="P11" s="178"/>
      <c r="Q11" s="64" t="b">
        <v>0</v>
      </c>
    </row>
    <row r="12" spans="1:17" ht="17.25" customHeight="1" x14ac:dyDescent="0.25">
      <c r="B12" s="8"/>
      <c r="C12" s="8"/>
      <c r="D12" s="8"/>
      <c r="E12" s="8"/>
      <c r="F12" s="8"/>
      <c r="G12" s="8"/>
      <c r="H12" s="8"/>
      <c r="I12" s="8"/>
      <c r="K12" s="149"/>
      <c r="M12" s="175" t="str">
        <f>IF(OR(Q3:Q6,Q8:Q11,Q12,Q15,Q14)=TRUE,"","Legalább alapfokú iskolai végzettség bemutatása")</f>
        <v>Legalább alapfokú iskolai végzettség bemutatása</v>
      </c>
      <c r="N12" s="175"/>
      <c r="O12" s="175"/>
      <c r="P12" s="175"/>
      <c r="Q12" s="64" t="b">
        <v>0</v>
      </c>
    </row>
    <row r="13" spans="1:17" ht="17.25" customHeight="1" x14ac:dyDescent="0.25">
      <c r="B13" s="8"/>
      <c r="C13" s="8"/>
      <c r="D13" s="8"/>
      <c r="E13" s="8"/>
      <c r="F13" s="8"/>
      <c r="G13" s="8"/>
      <c r="H13" s="8"/>
      <c r="I13" s="8"/>
      <c r="K13" s="11"/>
      <c r="M13" s="175"/>
      <c r="N13" s="175"/>
      <c r="O13" s="175"/>
      <c r="P13" s="175"/>
      <c r="Q13" s="64" t="b">
        <v>0</v>
      </c>
    </row>
    <row r="14" spans="1:17" ht="43.5" customHeight="1" x14ac:dyDescent="0.25">
      <c r="M14" s="175" t="str">
        <f>IF(OR(Q10,Q15)=TRUE,"Felmentési kérelemhez: képesítő okmány, vizsgajegyzőkönyv, leckekönyv vagy tanterv","")</f>
        <v/>
      </c>
      <c r="N14" s="175"/>
      <c r="O14" s="175"/>
      <c r="P14" s="175"/>
      <c r="Q14" s="64" t="b">
        <v>0</v>
      </c>
    </row>
    <row r="15" spans="1:17" x14ac:dyDescent="0.25">
      <c r="B15" s="158" t="s">
        <v>13</v>
      </c>
      <c r="C15" s="158"/>
      <c r="D15" s="158"/>
      <c r="E15" s="158"/>
      <c r="F15" s="158"/>
      <c r="G15" s="158"/>
      <c r="H15" s="158"/>
      <c r="I15" s="158"/>
      <c r="K15" s="1" t="s">
        <v>89</v>
      </c>
      <c r="Q15" s="64" t="b">
        <v>0</v>
      </c>
    </row>
    <row r="16" spans="1:17" s="2" customFormat="1" ht="124.5" customHeight="1" x14ac:dyDescent="0.25">
      <c r="B16" s="3" t="s">
        <v>19</v>
      </c>
      <c r="C16" s="3" t="s">
        <v>20</v>
      </c>
      <c r="D16" s="3" t="s">
        <v>21</v>
      </c>
      <c r="E16" s="3" t="s">
        <v>91</v>
      </c>
      <c r="F16" s="3" t="s">
        <v>3</v>
      </c>
      <c r="G16" s="3" t="s">
        <v>27</v>
      </c>
      <c r="H16" s="3" t="s">
        <v>28</v>
      </c>
      <c r="I16" s="3" t="s">
        <v>84</v>
      </c>
      <c r="K16" s="10">
        <f>SUM(B18:I18)</f>
        <v>95300</v>
      </c>
      <c r="M16" s="171" t="str">
        <f>IF(Q10=TRUE,"Hajózási szakképzésben szerzett képesítő bizonyítványként azt a képesítő okmányt lehet elfogadni, amelyet olyan oktatási intézmény adott ki, amelynek tanterve a hajózási hatóság által jóváhagyott szakmai oktatási programot tartalmazza","")</f>
        <v/>
      </c>
      <c r="N16" s="171"/>
      <c r="O16" s="171"/>
      <c r="P16" s="171"/>
    </row>
    <row r="17" spans="2:16" s="2" customFormat="1" ht="15.75" customHeight="1" x14ac:dyDescent="0.25">
      <c r="B17" s="101" t="str">
        <f>IF(B18=0,"Felmentés",IF(OR($Q$15,$Q$10)=TRUE,"Felmentés/vizsga","Vizsga"))</f>
        <v>Vizsga</v>
      </c>
      <c r="C17" s="101" t="str">
        <f t="shared" ref="C17:H17" si="1">IF(C18=0,"Felmentés",IF(OR($Q$15,$Q$10)=TRUE,"Felmentés/vizsga","Vizsga"))</f>
        <v>Vizsga</v>
      </c>
      <c r="D17" s="101" t="str">
        <f t="shared" si="1"/>
        <v>Vizsga</v>
      </c>
      <c r="E17" s="101" t="str">
        <f t="shared" si="1"/>
        <v>Vizsga</v>
      </c>
      <c r="F17" s="101" t="str">
        <f t="shared" si="1"/>
        <v>Vizsga</v>
      </c>
      <c r="G17" s="101" t="str">
        <f t="shared" si="1"/>
        <v>Vizsga</v>
      </c>
      <c r="H17" s="101" t="str">
        <f t="shared" si="1"/>
        <v>Vizsga</v>
      </c>
      <c r="I17" s="42" t="s">
        <v>85</v>
      </c>
      <c r="L17" s="17"/>
      <c r="M17" s="191" t="s">
        <v>39</v>
      </c>
      <c r="N17" s="191"/>
      <c r="O17" s="191"/>
      <c r="P17" s="191"/>
    </row>
    <row r="18" spans="2:16" s="1" customFormat="1" x14ac:dyDescent="0.25">
      <c r="B18" s="33">
        <f>IF(OR(Q3,Q4,Q5,Q9,Q12,Q14)=TRUE,0,KEZDŐLAP!F25)</f>
        <v>10800</v>
      </c>
      <c r="C18" s="33">
        <f>IF(OR(Q3,Q4,Q5,Q9,Q12,Q14)=TRUE,0,KEZDŐLAP!F25)</f>
        <v>10800</v>
      </c>
      <c r="D18" s="33">
        <f>IF(OR(Q3,Q5,Q11,Q12,Q14)=TRUE,0,KEZDŐLAP!F25)</f>
        <v>10800</v>
      </c>
      <c r="E18" s="33">
        <f>IF(OR(Q7,Q14)=TRUE,0,KEZDŐLAP!F25)</f>
        <v>10800</v>
      </c>
      <c r="F18" s="33">
        <f>IF(OR($Q$3,Q5,Q9,Q11,Q12,Q8,Q4,Q13,Q14)=TRUE,0,KEZDŐLAP!F25)</f>
        <v>10800</v>
      </c>
      <c r="G18" s="33">
        <f>IF(Q8=TRUE,0,KEZDŐLAP!F26)</f>
        <v>17400</v>
      </c>
      <c r="H18" s="33">
        <f>IF(OR(Q3,Q5,Q11,Q12,Q9,Q14)=TRUE,0,KEZDŐLAP!F26)</f>
        <v>17400</v>
      </c>
      <c r="I18" s="66">
        <f>KEZDŐLAP!F30</f>
        <v>6500</v>
      </c>
      <c r="K18" s="2"/>
      <c r="L18" s="17"/>
      <c r="M18" s="191"/>
      <c r="N18" s="191"/>
      <c r="O18" s="191"/>
      <c r="P18" s="191"/>
    </row>
    <row r="19" spans="2:16" x14ac:dyDescent="0.25">
      <c r="B19" s="19"/>
      <c r="C19" s="19"/>
      <c r="D19" s="19"/>
      <c r="E19" s="19"/>
      <c r="F19" s="19"/>
      <c r="G19" s="194" t="s">
        <v>88</v>
      </c>
      <c r="H19" s="195"/>
      <c r="I19" s="33">
        <f>SUM(B18:H18)</f>
        <v>88800</v>
      </c>
      <c r="L19" s="17"/>
      <c r="M19" s="191"/>
      <c r="N19" s="191"/>
      <c r="O19" s="191"/>
      <c r="P19" s="191"/>
    </row>
    <row r="20" spans="2:16" x14ac:dyDescent="0.25">
      <c r="L20" s="17"/>
      <c r="M20" s="191"/>
      <c r="N20" s="191"/>
      <c r="O20" s="191"/>
      <c r="P20" s="191"/>
    </row>
    <row r="21" spans="2:16" x14ac:dyDescent="0.25">
      <c r="L21" s="17"/>
      <c r="M21" s="191"/>
      <c r="N21" s="191"/>
      <c r="O21" s="191"/>
      <c r="P21" s="191"/>
    </row>
    <row r="22" spans="2:16" x14ac:dyDescent="0.25">
      <c r="L22" s="17"/>
      <c r="M22" s="17"/>
      <c r="N22" s="17"/>
      <c r="O22" s="17"/>
      <c r="P22" s="17"/>
    </row>
    <row r="23" spans="2:16" x14ac:dyDescent="0.25">
      <c r="L23" s="17"/>
      <c r="M23" s="17"/>
      <c r="N23" s="17"/>
      <c r="O23" s="17"/>
      <c r="P23" s="17"/>
    </row>
    <row r="24" spans="2:16" x14ac:dyDescent="0.25">
      <c r="L24" s="17"/>
      <c r="M24" s="17"/>
      <c r="N24" s="17"/>
      <c r="O24" s="17"/>
      <c r="P24" s="17"/>
    </row>
  </sheetData>
  <sheetProtection sheet="1" selectLockedCells="1"/>
  <protectedRanges>
    <protectedRange password="EFFA" sqref="L3:P4 Q3:Q13 H13:P14 F13:G15 L15:P15 L6:P12 L5 F16:H16 B1:P1 J2:Q2 B13:E16 A14:A18 B3:J12 J17:K18 K16 H15:J15 B17:H18" name="Tartomány1"/>
    <protectedRange password="EFFA" sqref="K3:K12" name="Tartomány1_2"/>
    <protectedRange password="EFFA" sqref="M5:P5" name="Tartomány1_1"/>
    <protectedRange password="EFFA" sqref="A1" name="Tartomány1_3"/>
    <protectedRange password="EFFA" sqref="B2:I2" name="Tartomány1_4"/>
    <protectedRange password="EFFA" sqref="I16:I18" name="Tartomány1_5"/>
    <protectedRange password="EFFA" sqref="K15" name="Tartomány1_6"/>
    <protectedRange password="EFFA" sqref="M16 N16:O18 M18 L17:L18" name="Tartomány1_2_1"/>
  </protectedRanges>
  <mergeCells count="17">
    <mergeCell ref="B1:I1"/>
    <mergeCell ref="M1:P1"/>
    <mergeCell ref="K3:K12"/>
    <mergeCell ref="M3:P3"/>
    <mergeCell ref="M4:P4"/>
    <mergeCell ref="M5:P5"/>
    <mergeCell ref="M6:P7"/>
    <mergeCell ref="M8:P9"/>
    <mergeCell ref="M10:P10"/>
    <mergeCell ref="M11:P11"/>
    <mergeCell ref="B2:I2"/>
    <mergeCell ref="M12:P13"/>
    <mergeCell ref="M16:P16"/>
    <mergeCell ref="M17:P21"/>
    <mergeCell ref="G19:H19"/>
    <mergeCell ref="M14:P14"/>
    <mergeCell ref="B15:I15"/>
  </mergeCells>
  <conditionalFormatting sqref="B17:H17">
    <cfRule type="containsText" dxfId="73" priority="1" operator="containsText" text="Vizsga">
      <formula>NOT(ISERROR(SEARCH("Vizsga",B17)))</formula>
    </cfRule>
    <cfRule type="containsText" dxfId="72" priority="2" operator="containsText" text="&quot;Vizsga&quot;">
      <formula>NOT(ISERROR(SEARCH("""Vizsga""",B17)))</formula>
    </cfRule>
  </conditionalFormatting>
  <hyperlinks>
    <hyperlink ref="A1" location="KEZDŐLAP!A1" display="X" xr:uid="{00000000-0004-0000-0900-000000000000}"/>
  </hyperlinks>
  <pageMargins left="0.7" right="0.7" top="0.75" bottom="0.75" header="0.3" footer="0.3"/>
  <pageSetup paperSize="9"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30" r:id="rId4" name="Check Box 2">
              <controlPr defaultSize="0" autoFill="0" autoLine="0" autoPict="0">
                <anchor moveWithCells="1">
                  <from>
                    <xdr:col>1</xdr:col>
                    <xdr:colOff>438150</xdr:colOff>
                    <xdr:row>8</xdr:row>
                    <xdr:rowOff>142875</xdr:rowOff>
                  </from>
                  <to>
                    <xdr:col>7</xdr:col>
                    <xdr:colOff>695325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r:id="rId5" name="Check Box 3">
              <controlPr defaultSize="0" autoFill="0" autoLine="0" autoPict="0">
                <anchor moveWithCells="1">
                  <from>
                    <xdr:col>1</xdr:col>
                    <xdr:colOff>438150</xdr:colOff>
                    <xdr:row>4</xdr:row>
                    <xdr:rowOff>95250</xdr:rowOff>
                  </from>
                  <to>
                    <xdr:col>6</xdr:col>
                    <xdr:colOff>523875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r:id="rId6" name="Check Box 5">
              <controlPr defaultSize="0" autoFill="0" autoLine="0" autoPict="0">
                <anchor moveWithCells="1">
                  <from>
                    <xdr:col>1</xdr:col>
                    <xdr:colOff>438150</xdr:colOff>
                    <xdr:row>5</xdr:row>
                    <xdr:rowOff>123825</xdr:rowOff>
                  </from>
                  <to>
                    <xdr:col>6</xdr:col>
                    <xdr:colOff>523875</xdr:colOff>
                    <xdr:row>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r:id="rId7" name="Check Box 7">
              <controlPr defaultSize="0" autoFill="0" autoLine="0" autoPict="0">
                <anchor moveWithCells="1">
                  <from>
                    <xdr:col>1</xdr:col>
                    <xdr:colOff>438150</xdr:colOff>
                    <xdr:row>6</xdr:row>
                    <xdr:rowOff>142875</xdr:rowOff>
                  </from>
                  <to>
                    <xdr:col>5</xdr:col>
                    <xdr:colOff>142875</xdr:colOff>
                    <xdr:row>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6" r:id="rId8" name="Check Box 8">
              <controlPr defaultSize="0" autoFill="0" autoLine="0" autoPict="0">
                <anchor moveWithCells="1">
                  <from>
                    <xdr:col>1</xdr:col>
                    <xdr:colOff>438150</xdr:colOff>
                    <xdr:row>7</xdr:row>
                    <xdr:rowOff>142875</xdr:rowOff>
                  </from>
                  <to>
                    <xdr:col>5</xdr:col>
                    <xdr:colOff>142875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7" r:id="rId9" name="Check Box 9">
              <controlPr defaultSize="0" autoFill="0" autoLine="0" autoPict="0">
                <anchor moveWithCells="1">
                  <from>
                    <xdr:col>1</xdr:col>
                    <xdr:colOff>438150</xdr:colOff>
                    <xdr:row>9</xdr:row>
                    <xdr:rowOff>161925</xdr:rowOff>
                  </from>
                  <to>
                    <xdr:col>5</xdr:col>
                    <xdr:colOff>142875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3" r:id="rId10" name="Check Box 15">
              <controlPr defaultSize="0" autoFill="0" autoLine="0" autoPict="0">
                <anchor moveWithCells="1">
                  <from>
                    <xdr:col>1</xdr:col>
                    <xdr:colOff>438150</xdr:colOff>
                    <xdr:row>3</xdr:row>
                    <xdr:rowOff>104775</xdr:rowOff>
                  </from>
                  <to>
                    <xdr:col>7</xdr:col>
                    <xdr:colOff>600075</xdr:colOff>
                    <xdr:row>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4" r:id="rId11" name="Check Box 16">
              <controlPr defaultSize="0" autoFill="0" autoLine="0" autoPict="0">
                <anchor moveWithCells="1">
                  <from>
                    <xdr:col>1</xdr:col>
                    <xdr:colOff>438150</xdr:colOff>
                    <xdr:row>10</xdr:row>
                    <xdr:rowOff>161925</xdr:rowOff>
                  </from>
                  <to>
                    <xdr:col>5</xdr:col>
                    <xdr:colOff>142875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5" r:id="rId12" name="Check Box 17">
              <controlPr locked="0" defaultSize="0" autoFill="0" autoLine="0" autoPict="0">
                <anchor moveWithCells="1">
                  <from>
                    <xdr:col>1</xdr:col>
                    <xdr:colOff>438150</xdr:colOff>
                    <xdr:row>2</xdr:row>
                    <xdr:rowOff>114300</xdr:rowOff>
                  </from>
                  <to>
                    <xdr:col>7</xdr:col>
                    <xdr:colOff>600075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6" r:id="rId13" name="Check Box 18">
              <controlPr defaultSize="0" autoFill="0" autoLine="0" autoPict="0">
                <anchor moveWithCells="1">
                  <from>
                    <xdr:col>1</xdr:col>
                    <xdr:colOff>438150</xdr:colOff>
                    <xdr:row>11</xdr:row>
                    <xdr:rowOff>161925</xdr:rowOff>
                  </from>
                  <to>
                    <xdr:col>8</xdr:col>
                    <xdr:colOff>904875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Munka10">
    <tabColor rgb="FF00B0F0"/>
  </sheetPr>
  <dimension ref="A1:Q20"/>
  <sheetViews>
    <sheetView workbookViewId="0"/>
  </sheetViews>
  <sheetFormatPr defaultRowHeight="15" x14ac:dyDescent="0.25"/>
  <cols>
    <col min="1" max="1" width="3.42578125" customWidth="1"/>
    <col min="2" max="7" width="15" customWidth="1"/>
    <col min="8" max="9" width="12.28515625" customWidth="1"/>
    <col min="10" max="10" width="3.140625" customWidth="1"/>
    <col min="11" max="11" width="31.7109375" customWidth="1"/>
    <col min="12" max="12" width="3.140625" customWidth="1"/>
    <col min="13" max="16" width="12" customWidth="1"/>
    <col min="17" max="17" width="1.28515625" customWidth="1"/>
  </cols>
  <sheetData>
    <row r="1" spans="1:17" x14ac:dyDescent="0.25">
      <c r="A1" s="26" t="s">
        <v>43</v>
      </c>
      <c r="B1" s="147" t="s">
        <v>29</v>
      </c>
      <c r="C1" s="147"/>
      <c r="D1" s="147"/>
      <c r="E1" s="147"/>
      <c r="F1" s="147"/>
      <c r="G1" s="147"/>
      <c r="H1" s="147"/>
      <c r="I1" s="147"/>
      <c r="K1" s="5" t="s">
        <v>1</v>
      </c>
      <c r="M1" s="147" t="s">
        <v>6</v>
      </c>
      <c r="N1" s="147"/>
      <c r="O1" s="147"/>
      <c r="P1" s="147"/>
    </row>
    <row r="2" spans="1:17" ht="15" customHeight="1" x14ac:dyDescent="0.25">
      <c r="B2" s="176" t="s">
        <v>61</v>
      </c>
      <c r="C2" s="176"/>
      <c r="D2" s="176"/>
      <c r="E2" s="176"/>
      <c r="F2" s="176"/>
      <c r="G2" s="176"/>
      <c r="H2" s="176"/>
      <c r="I2" s="176"/>
      <c r="K2" s="1"/>
      <c r="Q2" s="24"/>
    </row>
    <row r="3" spans="1:17" ht="15" customHeight="1" x14ac:dyDescent="0.25">
      <c r="B3" s="8"/>
      <c r="C3" s="8"/>
      <c r="D3" s="8"/>
      <c r="E3" s="8"/>
      <c r="F3" s="8"/>
      <c r="G3" s="8"/>
      <c r="H3" s="8"/>
      <c r="I3" s="8"/>
      <c r="K3" s="149" t="s">
        <v>109</v>
      </c>
      <c r="M3" s="175" t="s">
        <v>227</v>
      </c>
      <c r="N3" s="175"/>
      <c r="O3" s="175"/>
      <c r="P3" s="175"/>
      <c r="Q3" s="64" t="b">
        <v>0</v>
      </c>
    </row>
    <row r="4" spans="1:17" x14ac:dyDescent="0.25">
      <c r="B4" s="8"/>
      <c r="C4" s="8"/>
      <c r="D4" s="8"/>
      <c r="E4" s="8"/>
      <c r="F4" s="8"/>
      <c r="G4" s="8"/>
      <c r="H4" s="8"/>
      <c r="I4" s="8"/>
      <c r="K4" s="149"/>
      <c r="M4" s="178"/>
      <c r="N4" s="178"/>
      <c r="O4" s="178"/>
      <c r="P4" s="178"/>
      <c r="Q4" s="64" t="b">
        <v>0</v>
      </c>
    </row>
    <row r="5" spans="1:17" x14ac:dyDescent="0.25">
      <c r="B5" s="8"/>
      <c r="C5" s="8"/>
      <c r="D5" s="8"/>
      <c r="E5" s="8"/>
      <c r="F5" s="8"/>
      <c r="G5" s="8"/>
      <c r="H5" s="8"/>
      <c r="I5" s="8"/>
      <c r="K5" s="149"/>
      <c r="M5" s="178" t="s">
        <v>33</v>
      </c>
      <c r="N5" s="178"/>
      <c r="O5" s="178"/>
      <c r="P5" s="178"/>
      <c r="Q5" s="64" t="b">
        <v>0</v>
      </c>
    </row>
    <row r="6" spans="1:17" x14ac:dyDescent="0.25">
      <c r="B6" s="8"/>
      <c r="C6" s="8"/>
      <c r="D6" s="8"/>
      <c r="E6" s="8"/>
      <c r="F6" s="8"/>
      <c r="G6" s="8"/>
      <c r="H6" s="8"/>
      <c r="I6" s="8"/>
      <c r="K6" s="149"/>
      <c r="M6" s="175" t="s">
        <v>8</v>
      </c>
      <c r="N6" s="175"/>
      <c r="O6" s="175"/>
      <c r="P6" s="175"/>
      <c r="Q6" s="64"/>
    </row>
    <row r="7" spans="1:17" x14ac:dyDescent="0.25">
      <c r="B7" s="8"/>
      <c r="C7" s="8"/>
      <c r="D7" s="8"/>
      <c r="E7" s="8"/>
      <c r="F7" s="8"/>
      <c r="G7" s="8"/>
      <c r="H7" s="8"/>
      <c r="I7" s="8"/>
      <c r="K7" s="149"/>
      <c r="M7" s="175"/>
      <c r="N7" s="175"/>
      <c r="O7" s="175"/>
      <c r="P7" s="175"/>
      <c r="Q7" s="64" t="b">
        <v>0</v>
      </c>
    </row>
    <row r="8" spans="1:17" x14ac:dyDescent="0.25">
      <c r="B8" s="8"/>
      <c r="C8" s="8"/>
      <c r="D8" s="8"/>
      <c r="E8" s="8"/>
      <c r="F8" s="8"/>
      <c r="G8" s="8"/>
      <c r="H8" s="8"/>
      <c r="I8" s="8"/>
      <c r="K8" s="149"/>
      <c r="M8" s="175" t="s">
        <v>228</v>
      </c>
      <c r="N8" s="175" t="str">
        <f t="shared" ref="M8:P9" si="0">IF($Q$10=TRUE,"Hajózási technikusi, vagy hajózási főiskolai oklevél bemutatása","A vizsgatárgyakat tartalmazó képzésen való részvétel igazolása")</f>
        <v>A vizsgatárgyakat tartalmazó képzésen való részvétel igazolása</v>
      </c>
      <c r="O8" s="175" t="str">
        <f t="shared" si="0"/>
        <v>A vizsgatárgyakat tartalmazó képzésen való részvétel igazolása</v>
      </c>
      <c r="P8" s="175" t="str">
        <f t="shared" si="0"/>
        <v>A vizsgatárgyakat tartalmazó képzésen való részvétel igazolása</v>
      </c>
      <c r="Q8" s="64"/>
    </row>
    <row r="9" spans="1:17" x14ac:dyDescent="0.25">
      <c r="B9" s="8"/>
      <c r="C9" s="8"/>
      <c r="D9" s="8"/>
      <c r="E9" s="8"/>
      <c r="F9" s="8"/>
      <c r="G9" s="8"/>
      <c r="H9" s="8"/>
      <c r="I9" s="8"/>
      <c r="K9" s="149"/>
      <c r="M9" s="175" t="str">
        <f t="shared" si="0"/>
        <v>A vizsgatárgyakat tartalmazó képzésen való részvétel igazolása</v>
      </c>
      <c r="N9" s="175" t="str">
        <f t="shared" si="0"/>
        <v>A vizsgatárgyakat tartalmazó képzésen való részvétel igazolása</v>
      </c>
      <c r="O9" s="175" t="str">
        <f t="shared" si="0"/>
        <v>A vizsgatárgyakat tartalmazó képzésen való részvétel igazolása</v>
      </c>
      <c r="P9" s="175" t="str">
        <f t="shared" si="0"/>
        <v>A vizsgatárgyakat tartalmazó képzésen való részvétel igazolása</v>
      </c>
      <c r="Q9" s="64" t="b">
        <v>0</v>
      </c>
    </row>
    <row r="10" spans="1:17" x14ac:dyDescent="0.25">
      <c r="B10" s="8"/>
      <c r="C10" s="8"/>
      <c r="D10" s="8"/>
      <c r="E10" s="8"/>
      <c r="F10" s="8"/>
      <c r="G10" s="8"/>
      <c r="H10" s="8"/>
      <c r="I10" s="8"/>
      <c r="J10" s="9"/>
      <c r="K10" s="149"/>
      <c r="M10" s="178" t="s">
        <v>110</v>
      </c>
      <c r="N10" s="178"/>
      <c r="O10" s="178"/>
      <c r="P10" s="178"/>
      <c r="Q10" s="64" t="b">
        <v>0</v>
      </c>
    </row>
    <row r="11" spans="1:17" ht="29.25" customHeight="1" x14ac:dyDescent="0.25">
      <c r="B11" s="8"/>
      <c r="C11" s="8"/>
      <c r="D11" s="8"/>
      <c r="E11" s="8"/>
      <c r="F11" s="8"/>
      <c r="G11" s="8"/>
      <c r="H11" s="8"/>
      <c r="I11" s="8"/>
      <c r="K11" s="149"/>
      <c r="M11" s="175" t="str">
        <f>IF(OR(Q15,Q14)=TRUE,"Felmentési kérelemhez: képesítő okmány, vizsgajegyzőkönyv, leckekönyv vagy tanterv","")</f>
        <v/>
      </c>
      <c r="N11" s="175"/>
      <c r="O11" s="175"/>
      <c r="P11" s="175"/>
      <c r="Q11" s="64" t="b">
        <v>0</v>
      </c>
    </row>
    <row r="12" spans="1:17" x14ac:dyDescent="0.25">
      <c r="B12" s="8"/>
      <c r="C12" s="8"/>
      <c r="D12" s="8"/>
      <c r="E12" s="8"/>
      <c r="F12" s="8"/>
      <c r="G12" s="8"/>
      <c r="H12" s="8"/>
      <c r="I12" s="8"/>
      <c r="K12" s="149"/>
      <c r="M12" s="182" t="str">
        <f>IF(OR(Q3:Q12,,Q14,Q15)=TRUE,"","Legalább alapfokú iskolai végzettség igazolása")</f>
        <v>Legalább alapfokú iskolai végzettség igazolása</v>
      </c>
      <c r="N12" s="183"/>
      <c r="O12" s="183"/>
      <c r="P12" s="184"/>
      <c r="Q12" s="64" t="b">
        <v>0</v>
      </c>
    </row>
    <row r="13" spans="1:17" x14ac:dyDescent="0.25">
      <c r="B13" s="8"/>
      <c r="C13" s="8"/>
      <c r="D13" s="8"/>
      <c r="E13" s="8"/>
      <c r="F13" s="8"/>
      <c r="G13" s="8"/>
      <c r="H13" s="8"/>
      <c r="I13" s="8"/>
      <c r="K13" s="11"/>
      <c r="M13" s="187"/>
      <c r="N13" s="188"/>
      <c r="O13" s="188"/>
      <c r="P13" s="189"/>
      <c r="Q13" s="64" t="b">
        <v>0</v>
      </c>
    </row>
    <row r="14" spans="1:17" ht="16.5" customHeight="1" x14ac:dyDescent="0.25">
      <c r="M14" s="196"/>
      <c r="N14" s="196"/>
      <c r="O14" s="196"/>
      <c r="P14" s="196"/>
      <c r="Q14" s="64" t="b">
        <v>0</v>
      </c>
    </row>
    <row r="15" spans="1:17" x14ac:dyDescent="0.25">
      <c r="B15" s="158" t="s">
        <v>13</v>
      </c>
      <c r="C15" s="158"/>
      <c r="D15" s="158"/>
      <c r="E15" s="158"/>
      <c r="F15" s="158"/>
      <c r="G15" s="158"/>
      <c r="K15" s="1" t="s">
        <v>89</v>
      </c>
      <c r="Q15" s="64" t="b">
        <v>0</v>
      </c>
    </row>
    <row r="16" spans="1:17" s="2" customFormat="1" ht="124.5" customHeight="1" x14ac:dyDescent="0.25">
      <c r="B16" s="12" t="s">
        <v>30</v>
      </c>
      <c r="C16" s="12" t="s">
        <v>31</v>
      </c>
      <c r="D16" s="12" t="s">
        <v>3</v>
      </c>
      <c r="E16" s="12" t="s">
        <v>32</v>
      </c>
      <c r="F16" s="12" t="s">
        <v>27</v>
      </c>
      <c r="G16" s="12" t="s">
        <v>5</v>
      </c>
      <c r="H16" s="3" t="s">
        <v>84</v>
      </c>
      <c r="K16" s="10">
        <f>SUM(B18:H18)</f>
        <v>108600</v>
      </c>
      <c r="M16" s="171" t="str">
        <f>IF(Q14=TRUE,"Hajózási szakképzésben szerzett képesítő bizonyítványként azt a képesítő okmányt lehet elfogadni, amelyet olyan oktatási intézmény adott ki, amelynek tanterve a hajózási hatóság által jóváhagyott szakmai oktatási programot tartalmazza","")</f>
        <v/>
      </c>
      <c r="N16" s="171"/>
      <c r="O16" s="171"/>
      <c r="P16" s="171"/>
    </row>
    <row r="17" spans="2:16" s="2" customFormat="1" ht="15.75" customHeight="1" x14ac:dyDescent="0.25">
      <c r="B17" s="101" t="str">
        <f>IF(B18=0,"Felmentés",IF(OR($Q$15,$Q$14)=TRUE,"Felmentés/vizsga","Vizsga"))</f>
        <v>Vizsga</v>
      </c>
      <c r="C17" s="101" t="str">
        <f t="shared" ref="C17:F17" si="1">IF(C18=0,"Felmentés",IF(OR($Q$15,$Q$14)=TRUE,"Felmentés/vizsga","Vizsga"))</f>
        <v>Vizsga</v>
      </c>
      <c r="D17" s="101" t="str">
        <f t="shared" si="1"/>
        <v>Vizsga</v>
      </c>
      <c r="E17" s="101" t="str">
        <f t="shared" si="1"/>
        <v>Vizsga</v>
      </c>
      <c r="F17" s="101" t="str">
        <f t="shared" si="1"/>
        <v>Vizsga</v>
      </c>
      <c r="G17" s="101" t="s">
        <v>229</v>
      </c>
      <c r="H17" s="42" t="s">
        <v>85</v>
      </c>
      <c r="M17" s="171"/>
      <c r="N17" s="171"/>
      <c r="O17" s="171"/>
      <c r="P17" s="171"/>
    </row>
    <row r="18" spans="2:16" s="1" customFormat="1" x14ac:dyDescent="0.25">
      <c r="B18" s="4">
        <f>IF(Q3=TRUE,0,IF(Q4=TRUE,0,IF(Q7=TRUE,0,IF(Q9=TRUE,0,IF(Q11=TRUE,0,IF(Q5=TRUE,0,KEZDŐLAP!F25))))))</f>
        <v>10800</v>
      </c>
      <c r="C18" s="4">
        <f>IF(Q3=TRUE,0,IF(Q4=TRUE,0,IF(Q7=TRUE,0,IF(Q9=TRUE,0,IF(Q11=TRUE,0,IF(Q5=TRUE,0,KEZDŐLAP!F26))))))</f>
        <v>17400</v>
      </c>
      <c r="D18" s="4">
        <f>IF(OR(Q12,Q7,Q5)=TRUE,0,KEZDŐLAP!F25)</f>
        <v>10800</v>
      </c>
      <c r="E18" s="4">
        <f>IF(Q13=TRUE,0,KEZDŐLAP!F26)</f>
        <v>17400</v>
      </c>
      <c r="F18" s="4">
        <f>IF(Q7=TRUE,0,KEZDŐLAP!F26)</f>
        <v>17400</v>
      </c>
      <c r="G18" s="4">
        <f>KEZDŐLAP!F29</f>
        <v>28300</v>
      </c>
      <c r="H18" s="41">
        <f>KEZDŐLAP!F30</f>
        <v>6500</v>
      </c>
      <c r="M18" s="171"/>
      <c r="N18" s="171"/>
      <c r="O18" s="171"/>
      <c r="P18" s="171"/>
    </row>
    <row r="19" spans="2:16" x14ac:dyDescent="0.25">
      <c r="E19" s="46" t="s">
        <v>88</v>
      </c>
      <c r="F19" s="47"/>
      <c r="G19" s="45">
        <f>SUM(B18:G18)</f>
        <v>102100</v>
      </c>
      <c r="M19" s="171"/>
      <c r="N19" s="171"/>
      <c r="O19" s="171"/>
      <c r="P19" s="171"/>
    </row>
    <row r="20" spans="2:16" x14ac:dyDescent="0.25">
      <c r="M20" s="171"/>
      <c r="N20" s="171"/>
      <c r="O20" s="171"/>
      <c r="P20" s="171"/>
    </row>
  </sheetData>
  <sheetProtection sheet="1" selectLockedCells="1"/>
  <protectedRanges>
    <protectedRange password="EFFA" sqref="D16:G16 L3:P4 Q3:Q13 K16 D13:I15 J13:P14 L6:P12 L5 B1:P1 J2:Q2 B13:C16 A14:A18 B3:J12 J15 L15:P15 K17:L18 Q16:Q18 M18:P18 B17:G18" name="Tartomány1"/>
    <protectedRange password="EFFA" sqref="K3:K12" name="Tartomány1_2"/>
    <protectedRange password="EFFA" sqref="M5:P5" name="Tartomány1_1"/>
    <protectedRange password="EFFA" sqref="M17:P17" name="Tartomány1_1_1"/>
    <protectedRange password="EFFA" sqref="A1" name="Tartomány1_3"/>
    <protectedRange password="EFFA" sqref="B2:I2" name="Tartomány1_4"/>
    <protectedRange password="EFFA" sqref="H16:H18" name="Tartomány1_5"/>
    <protectedRange password="EFFA" sqref="K15" name="Tartomány1_6"/>
    <protectedRange password="EFFA" sqref="M16:O16" name="Tartomány1_2_1"/>
  </protectedRanges>
  <mergeCells count="16">
    <mergeCell ref="M17:P20"/>
    <mergeCell ref="M16:P16"/>
    <mergeCell ref="M14:P14"/>
    <mergeCell ref="B15:G15"/>
    <mergeCell ref="B1:I1"/>
    <mergeCell ref="M1:P1"/>
    <mergeCell ref="K3:K12"/>
    <mergeCell ref="M3:P3"/>
    <mergeCell ref="M4:P4"/>
    <mergeCell ref="M5:P5"/>
    <mergeCell ref="M6:P7"/>
    <mergeCell ref="M8:P9"/>
    <mergeCell ref="M10:P10"/>
    <mergeCell ref="M11:P11"/>
    <mergeCell ref="B2:I2"/>
    <mergeCell ref="M12:P13"/>
  </mergeCells>
  <conditionalFormatting sqref="B17:G17">
    <cfRule type="containsText" dxfId="71" priority="1" operator="containsText" text="Vizsga">
      <formula>NOT(ISERROR(SEARCH("Vizsga",B17)))</formula>
    </cfRule>
    <cfRule type="containsText" dxfId="70" priority="2" operator="containsText" text="&quot;Vizsga&quot;">
      <formula>NOT(ISERROR(SEARCH("""Vizsga""",B17)))</formula>
    </cfRule>
  </conditionalFormatting>
  <hyperlinks>
    <hyperlink ref="A1" location="KEZDŐLAP!A1" display="X" xr:uid="{00000000-0004-0000-0A00-000000000000}"/>
  </hyperlinks>
  <pageMargins left="0.7" right="0.7" top="0.75" bottom="0.75" header="0.3" footer="0.3"/>
  <pageSetup paperSize="9"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6" r:id="rId4" name="Check Box 4">
              <controlPr defaultSize="0" autoFill="0" autoLine="0" autoPict="0">
                <anchor moveWithCells="1">
                  <from>
                    <xdr:col>1</xdr:col>
                    <xdr:colOff>438150</xdr:colOff>
                    <xdr:row>7</xdr:row>
                    <xdr:rowOff>95250</xdr:rowOff>
                  </from>
                  <to>
                    <xdr:col>5</xdr:col>
                    <xdr:colOff>371475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8" r:id="rId5" name="Check Box 6">
              <controlPr defaultSize="0" autoFill="0" autoLine="0" autoPict="0">
                <anchor moveWithCells="1">
                  <from>
                    <xdr:col>1</xdr:col>
                    <xdr:colOff>438150</xdr:colOff>
                    <xdr:row>5</xdr:row>
                    <xdr:rowOff>180975</xdr:rowOff>
                  </from>
                  <to>
                    <xdr:col>5</xdr:col>
                    <xdr:colOff>257175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4" r:id="rId6" name="Check Box 12">
              <controlPr defaultSize="0" autoFill="0" autoLine="0" autoPict="0">
                <anchor moveWithCells="1">
                  <from>
                    <xdr:col>1</xdr:col>
                    <xdr:colOff>438150</xdr:colOff>
                    <xdr:row>4</xdr:row>
                    <xdr:rowOff>0</xdr:rowOff>
                  </from>
                  <to>
                    <xdr:col>6</xdr:col>
                    <xdr:colOff>895350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5" r:id="rId7" name="Check Box 13">
              <controlPr defaultSize="0" autoFill="0" autoLine="0" autoPict="0">
                <anchor moveWithCells="1">
                  <from>
                    <xdr:col>1</xdr:col>
                    <xdr:colOff>438150</xdr:colOff>
                    <xdr:row>8</xdr:row>
                    <xdr:rowOff>142875</xdr:rowOff>
                  </from>
                  <to>
                    <xdr:col>8</xdr:col>
                    <xdr:colOff>809625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6" r:id="rId8" name="Check Box 14">
              <controlPr defaultSize="0" autoFill="0" autoLine="0" autoPict="0">
                <anchor moveWithCells="1">
                  <from>
                    <xdr:col>1</xdr:col>
                    <xdr:colOff>438150</xdr:colOff>
                    <xdr:row>10</xdr:row>
                    <xdr:rowOff>95250</xdr:rowOff>
                  </from>
                  <to>
                    <xdr:col>8</xdr:col>
                    <xdr:colOff>47625</xdr:colOff>
                    <xdr:row>10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Munka12">
    <tabColor rgb="FF00B0F0"/>
  </sheetPr>
  <dimension ref="A1:Q31"/>
  <sheetViews>
    <sheetView workbookViewId="0"/>
  </sheetViews>
  <sheetFormatPr defaultRowHeight="15" x14ac:dyDescent="0.25"/>
  <cols>
    <col min="1" max="1" width="3.42578125" style="7" customWidth="1"/>
    <col min="2" max="9" width="15" customWidth="1"/>
    <col min="10" max="10" width="3.140625" customWidth="1"/>
    <col min="11" max="11" width="43" customWidth="1"/>
    <col min="12" max="12" width="3.140625" customWidth="1"/>
    <col min="13" max="16" width="14.42578125" customWidth="1"/>
    <col min="17" max="17" width="2.140625" style="7" customWidth="1"/>
  </cols>
  <sheetData>
    <row r="1" spans="1:17" x14ac:dyDescent="0.25">
      <c r="A1" s="26" t="s">
        <v>285</v>
      </c>
      <c r="B1" s="147" t="s">
        <v>34</v>
      </c>
      <c r="C1" s="147"/>
      <c r="D1" s="147"/>
      <c r="E1" s="147"/>
      <c r="F1" s="147"/>
      <c r="G1" s="147"/>
      <c r="H1" s="147"/>
      <c r="I1" s="147"/>
      <c r="K1" s="5" t="s">
        <v>1</v>
      </c>
      <c r="M1" s="147" t="s">
        <v>6</v>
      </c>
      <c r="N1" s="147"/>
      <c r="O1" s="147"/>
      <c r="P1" s="147"/>
    </row>
    <row r="2" spans="1:17" ht="18" customHeight="1" x14ac:dyDescent="0.25">
      <c r="B2" s="176" t="s">
        <v>61</v>
      </c>
      <c r="C2" s="176"/>
      <c r="D2" s="176"/>
      <c r="E2" s="176"/>
      <c r="F2" s="176"/>
      <c r="G2" s="176"/>
      <c r="H2" s="176"/>
      <c r="I2" s="176"/>
      <c r="K2" s="149" t="str">
        <f>IF(Q16=TRUE,""," legalább 12 hónap hajózási gyakorlat a fedélzeti személyzet tagjaként és jóváhagyott hajóvezetői képzés sikeres elvégzésének igazolása")</f>
        <v xml:space="preserve"> legalább 12 hónap hajózási gyakorlat a fedélzeti személyzet tagjaként és jóváhagyott hajóvezetői képzés sikeres elvégzésének igazolása</v>
      </c>
      <c r="Q2" s="25"/>
    </row>
    <row r="3" spans="1:17" ht="18" customHeight="1" x14ac:dyDescent="0.25">
      <c r="B3" s="8"/>
      <c r="C3" s="8"/>
      <c r="D3" s="8"/>
      <c r="E3" s="8"/>
      <c r="F3" s="8"/>
      <c r="G3" s="8"/>
      <c r="H3" s="8"/>
      <c r="I3" s="8"/>
      <c r="K3" s="149"/>
      <c r="M3" s="175" t="str">
        <f>IF(H21&gt;0,"Írásos vizsgajelentkezési/felmentési kérelem","Okmányigénylés")</f>
        <v>Írásos vizsgajelentkezési/felmentési kérelem</v>
      </c>
      <c r="N3" s="175"/>
      <c r="O3" s="175"/>
      <c r="P3" s="175"/>
      <c r="Q3" s="64" t="b">
        <v>0</v>
      </c>
    </row>
    <row r="4" spans="1:17" ht="30" customHeight="1" x14ac:dyDescent="0.25">
      <c r="B4" s="8"/>
      <c r="C4" s="8"/>
      <c r="D4" s="8"/>
      <c r="E4" s="8"/>
      <c r="F4" s="8"/>
      <c r="G4" s="8"/>
      <c r="H4" s="8"/>
      <c r="I4" s="8"/>
      <c r="K4" s="149"/>
      <c r="M4" s="178" t="s">
        <v>7</v>
      </c>
      <c r="N4" s="178"/>
      <c r="O4" s="178"/>
      <c r="P4" s="178"/>
      <c r="Q4" s="64" t="b">
        <v>0</v>
      </c>
    </row>
    <row r="5" spans="1:17" ht="18" customHeight="1" x14ac:dyDescent="0.25">
      <c r="B5" s="8"/>
      <c r="C5" s="8"/>
      <c r="D5" s="8"/>
      <c r="E5" s="8"/>
      <c r="F5" s="8"/>
      <c r="G5" s="8"/>
      <c r="H5" s="8"/>
      <c r="I5" s="8"/>
      <c r="K5" s="75" t="str">
        <f>IF(Q16=TRUE,"","vagy")</f>
        <v>vagy</v>
      </c>
      <c r="M5" s="179" t="s">
        <v>33</v>
      </c>
      <c r="N5" s="180"/>
      <c r="O5" s="180"/>
      <c r="P5" s="181"/>
      <c r="Q5" s="64" t="b">
        <v>0</v>
      </c>
    </row>
    <row r="6" spans="1:17" ht="18" customHeight="1" x14ac:dyDescent="0.25">
      <c r="B6" s="8"/>
      <c r="C6" s="8"/>
      <c r="D6" s="8"/>
      <c r="E6" s="8"/>
      <c r="F6" s="8"/>
      <c r="G6" s="8"/>
      <c r="H6" s="8"/>
      <c r="I6" s="8"/>
      <c r="K6" s="149" t="str">
        <f>IF(Q16=TRUE,"","egyéni felkészülés mellett legalább 18 hónap hajózási gyakorlat a fedélzeti személyzet tagjaként")</f>
        <v>egyéni felkészülés mellett legalább 18 hónap hajózási gyakorlat a fedélzeti személyzet tagjaként</v>
      </c>
      <c r="M6" s="175" t="s">
        <v>111</v>
      </c>
      <c r="N6" s="175"/>
      <c r="O6" s="175"/>
      <c r="P6" s="175"/>
      <c r="Q6" s="64" t="b">
        <v>0</v>
      </c>
    </row>
    <row r="7" spans="1:17" ht="18" customHeight="1" x14ac:dyDescent="0.25">
      <c r="B7" s="8"/>
      <c r="C7" s="8"/>
      <c r="D7" s="8"/>
      <c r="E7" s="8"/>
      <c r="F7" s="8"/>
      <c r="G7" s="8"/>
      <c r="H7" s="8"/>
      <c r="I7" s="8"/>
      <c r="K7" s="149"/>
      <c r="M7" s="175"/>
      <c r="N7" s="175"/>
      <c r="O7" s="175"/>
      <c r="P7" s="175"/>
      <c r="Q7" s="64" t="b">
        <v>0</v>
      </c>
    </row>
    <row r="8" spans="1:17" ht="18" customHeight="1" x14ac:dyDescent="0.25">
      <c r="B8" s="8"/>
      <c r="C8" s="8"/>
      <c r="D8" s="8"/>
      <c r="E8" s="8"/>
      <c r="F8" s="8"/>
      <c r="G8" s="8"/>
      <c r="H8" s="8"/>
      <c r="I8" s="8"/>
      <c r="K8" s="149"/>
      <c r="M8" s="182" t="str">
        <f>IF(Q16=TRUE,"","A vizsgaközpont által lebonyolított „C” kategóriájú hajóvezetői vizsga sikeres teljesítése")</f>
        <v>A vizsgaközpont által lebonyolított „C” kategóriájú hajóvezetői vizsga sikeres teljesítése</v>
      </c>
      <c r="N8" s="183" t="str">
        <f t="shared" ref="N8:P9" si="0">IF($Q$10=TRUE,"Hajózási technikusi, vagy hajózási főiskolai oklevél bemutatása","A vizsgatárgyakat tartalmazó képzésen való részvétel igazolása")</f>
        <v>A vizsgatárgyakat tartalmazó képzésen való részvétel igazolása</v>
      </c>
      <c r="O8" s="183" t="str">
        <f t="shared" si="0"/>
        <v>A vizsgatárgyakat tartalmazó képzésen való részvétel igazolása</v>
      </c>
      <c r="P8" s="184" t="str">
        <f t="shared" si="0"/>
        <v>A vizsgatárgyakat tartalmazó képzésen való részvétel igazolása</v>
      </c>
      <c r="Q8" s="64" t="b">
        <v>0</v>
      </c>
    </row>
    <row r="9" spans="1:17" ht="18" customHeight="1" x14ac:dyDescent="0.25">
      <c r="B9" s="8"/>
      <c r="C9" s="8"/>
      <c r="D9" s="8"/>
      <c r="E9" s="8"/>
      <c r="F9" s="8"/>
      <c r="G9" s="8"/>
      <c r="H9" s="8"/>
      <c r="I9" s="8"/>
      <c r="K9" s="75" t="str">
        <f>IF(Q12=TRUE,"vagy","")</f>
        <v/>
      </c>
      <c r="M9" s="187" t="str">
        <f>IF($Q$10=TRUE,"Hajózási technikusi, vagy hajózási főiskolai oklevél bemutatása","A vizsgatárgyakat tartalmazó képzésen való részvétel igazolása")</f>
        <v>A vizsgatárgyakat tartalmazó képzésen való részvétel igazolása</v>
      </c>
      <c r="N9" s="188" t="str">
        <f t="shared" si="0"/>
        <v>A vizsgatárgyakat tartalmazó képzésen való részvétel igazolása</v>
      </c>
      <c r="O9" s="188" t="str">
        <f t="shared" si="0"/>
        <v>A vizsgatárgyakat tartalmazó képzésen való részvétel igazolása</v>
      </c>
      <c r="P9" s="189" t="str">
        <f t="shared" si="0"/>
        <v>A vizsgatárgyakat tartalmazó képzésen való részvétel igazolása</v>
      </c>
      <c r="Q9" s="64"/>
    </row>
    <row r="10" spans="1:17" ht="18" customHeight="1" x14ac:dyDescent="0.25">
      <c r="B10" s="8"/>
      <c r="C10" s="8"/>
      <c r="D10" s="8"/>
      <c r="E10" s="8"/>
      <c r="F10" s="8"/>
      <c r="G10" s="8"/>
      <c r="H10" s="8"/>
      <c r="I10" s="8"/>
      <c r="J10" s="9"/>
      <c r="K10" s="149" t="str">
        <f>IF(Q12=TRUE,"legalább 6 hónap hajózási gyakorlat a fedélzeti személyzet tagjaként és tengeri hajón és jóváhagyott hajóvezetői képzés sikeres elvégzésének igazolása","")</f>
        <v/>
      </c>
      <c r="M10" s="178" t="s">
        <v>108</v>
      </c>
      <c r="N10" s="178"/>
      <c r="O10" s="178"/>
      <c r="P10" s="178"/>
      <c r="Q10" s="64" t="b">
        <v>0</v>
      </c>
    </row>
    <row r="11" spans="1:17" ht="18" customHeight="1" x14ac:dyDescent="0.25">
      <c r="B11" s="8"/>
      <c r="C11" s="8"/>
      <c r="D11" s="8"/>
      <c r="E11" s="8"/>
      <c r="F11" s="8"/>
      <c r="G11" s="8"/>
      <c r="H11" s="8"/>
      <c r="I11" s="8"/>
      <c r="K11" s="149"/>
      <c r="M11" s="182" t="str">
        <f>IF(OR(Q11,Q8)=TRUE,"Felmentési kérelemhez: képesítő okmány, vizsgajegyzőkönyv, leckekönyv vagy tanterv","")</f>
        <v/>
      </c>
      <c r="N11" s="183"/>
      <c r="O11" s="183"/>
      <c r="P11" s="184"/>
      <c r="Q11" s="64" t="b">
        <v>0</v>
      </c>
    </row>
    <row r="12" spans="1:17" ht="18" customHeight="1" x14ac:dyDescent="0.25">
      <c r="B12" s="8"/>
      <c r="C12" s="8"/>
      <c r="D12" s="8"/>
      <c r="E12" s="8"/>
      <c r="F12" s="8"/>
      <c r="G12" s="8"/>
      <c r="H12" s="8"/>
      <c r="I12" s="8"/>
      <c r="K12" s="149"/>
      <c r="M12" s="187"/>
      <c r="N12" s="188"/>
      <c r="O12" s="188"/>
      <c r="P12" s="189"/>
      <c r="Q12" s="64" t="b">
        <v>0</v>
      </c>
    </row>
    <row r="13" spans="1:17" ht="18" customHeight="1" x14ac:dyDescent="0.25">
      <c r="B13" s="8"/>
      <c r="C13" s="8"/>
      <c r="D13" s="8"/>
      <c r="E13" s="8"/>
      <c r="F13" s="8"/>
      <c r="G13" s="8"/>
      <c r="H13" s="8"/>
      <c r="I13" s="8"/>
      <c r="K13" s="149"/>
      <c r="M13" s="175" t="s">
        <v>36</v>
      </c>
      <c r="N13" s="175"/>
      <c r="O13" s="175"/>
      <c r="P13" s="175"/>
      <c r="Q13" s="64"/>
    </row>
    <row r="14" spans="1:17" ht="18" customHeight="1" x14ac:dyDescent="0.25">
      <c r="B14" s="8"/>
      <c r="C14" s="8"/>
      <c r="D14" s="8"/>
      <c r="E14" s="8"/>
      <c r="F14" s="8"/>
      <c r="G14" s="8"/>
      <c r="H14" s="8"/>
      <c r="I14" s="8"/>
      <c r="K14" s="18"/>
      <c r="M14" s="175"/>
      <c r="N14" s="175"/>
      <c r="O14" s="175"/>
      <c r="P14" s="175"/>
      <c r="Q14" s="64" t="b">
        <v>0</v>
      </c>
    </row>
    <row r="15" spans="1:17" ht="18" customHeight="1" x14ac:dyDescent="0.25">
      <c r="B15" s="176"/>
      <c r="C15" s="176"/>
      <c r="D15" s="176"/>
      <c r="E15" s="176"/>
      <c r="F15" s="176"/>
      <c r="G15" s="176"/>
      <c r="H15" s="176"/>
      <c r="I15" s="176"/>
      <c r="K15" s="18"/>
      <c r="M15" s="175" t="str">
        <f>IF(OR(Q3,Q4,Q5,Q6,Q7,Q8,Q10,Q11,Q14,Q15,Q16)=TRUE,"","Legalább alapfokú iskolai végzettség igazolása")</f>
        <v>Legalább alapfokú iskolai végzettség igazolása</v>
      </c>
      <c r="N15" s="175"/>
      <c r="O15" s="175"/>
      <c r="P15" s="175"/>
      <c r="Q15" s="102"/>
    </row>
    <row r="16" spans="1:17" s="2" customFormat="1" ht="18" customHeight="1" x14ac:dyDescent="0.25">
      <c r="A16" s="14"/>
      <c r="B16" s="20"/>
      <c r="C16" s="20"/>
      <c r="D16" s="20"/>
      <c r="E16" s="20"/>
      <c r="F16" s="20"/>
      <c r="G16" s="20"/>
      <c r="H16" s="20"/>
      <c r="I16" s="8"/>
      <c r="J16"/>
      <c r="K16" s="18"/>
      <c r="L16"/>
      <c r="M16" s="175"/>
      <c r="N16" s="175"/>
      <c r="O16" s="175"/>
      <c r="P16" s="175"/>
      <c r="Q16" s="103" t="b">
        <v>0</v>
      </c>
    </row>
    <row r="17" spans="1:17" s="2" customFormat="1" ht="13.5" customHeight="1" x14ac:dyDescent="0.25">
      <c r="A17" s="14"/>
      <c r="B17" s="197" t="s">
        <v>13</v>
      </c>
      <c r="C17" s="198"/>
      <c r="D17" s="198"/>
      <c r="E17" s="198"/>
      <c r="F17" s="198"/>
      <c r="G17" s="198"/>
      <c r="H17" s="198"/>
      <c r="J17"/>
      <c r="K17" s="1" t="s">
        <v>105</v>
      </c>
      <c r="M17" s="159" t="str">
        <f>IF(Q11=TRUE,"Hajózási szakképzésben szerzett képesítő bizonyítványként azt a képesítő okmányt lehet elfogadni, amelyet olyan oktatási intézmény adott ki, amelynek tanterve a hajózási hatóság által jóváhagyott szakmai oktatási programot tartalmazza","")</f>
        <v/>
      </c>
      <c r="N17" s="159"/>
      <c r="O17" s="159"/>
      <c r="P17" s="159"/>
      <c r="Q17" s="17"/>
    </row>
    <row r="18" spans="1:17" s="1" customFormat="1" ht="100.5" customHeight="1" x14ac:dyDescent="0.25">
      <c r="A18" s="15"/>
      <c r="B18" s="13" t="s">
        <v>38</v>
      </c>
      <c r="C18" s="13" t="s">
        <v>37</v>
      </c>
      <c r="D18" s="13" t="s">
        <v>35</v>
      </c>
      <c r="E18" s="13" t="s">
        <v>90</v>
      </c>
      <c r="F18" s="13" t="s">
        <v>91</v>
      </c>
      <c r="G18" s="13" t="s">
        <v>25</v>
      </c>
      <c r="H18" s="13" t="s">
        <v>5</v>
      </c>
      <c r="I18" s="48" t="s">
        <v>103</v>
      </c>
      <c r="J18" s="2"/>
      <c r="K18" s="10">
        <f>SUM(B20:I20)</f>
        <v>119400</v>
      </c>
      <c r="L18" s="2"/>
      <c r="M18" s="171"/>
      <c r="N18" s="171"/>
      <c r="O18" s="171"/>
      <c r="P18" s="171"/>
      <c r="Q18" s="17"/>
    </row>
    <row r="19" spans="1:17" ht="15" customHeight="1" x14ac:dyDescent="0.25">
      <c r="B19" s="101" t="str">
        <f>IF(B20=0,"Felmentés",IF(OR($Q$11,$Q$8)=TRUE,"Felmentés/vizsga","Vizsga"))</f>
        <v>Vizsga</v>
      </c>
      <c r="C19" s="101" t="str">
        <f t="shared" ref="C19:G19" si="1">IF(C20=0,"Felmentés",IF(OR($Q$11,$Q$8)=TRUE,"Felmentés/vizsga","Vizsga"))</f>
        <v>Vizsga</v>
      </c>
      <c r="D19" s="101" t="str">
        <f t="shared" si="1"/>
        <v>Vizsga</v>
      </c>
      <c r="E19" s="101" t="str">
        <f t="shared" si="1"/>
        <v>Vizsga</v>
      </c>
      <c r="F19" s="101" t="str">
        <f t="shared" si="1"/>
        <v>Vizsga</v>
      </c>
      <c r="G19" s="101" t="str">
        <f t="shared" si="1"/>
        <v>Vizsga</v>
      </c>
      <c r="H19" s="101" t="str">
        <f t="shared" ref="H19" si="2">IF(H20&lt;&gt;0,"Vizsga","Felmentés")</f>
        <v>Vizsga</v>
      </c>
      <c r="I19" s="107" t="s">
        <v>104</v>
      </c>
      <c r="J19" s="2"/>
      <c r="K19" s="17"/>
      <c r="M19" s="171" t="s">
        <v>39</v>
      </c>
      <c r="N19" s="171"/>
      <c r="O19" s="171"/>
      <c r="P19" s="171"/>
      <c r="Q19" s="17"/>
    </row>
    <row r="20" spans="1:17" ht="14.25" customHeight="1" x14ac:dyDescent="0.25">
      <c r="B20" s="4">
        <f>IF($Q$6=TRUE,0,KEZDŐLAP!F25)</f>
        <v>10800</v>
      </c>
      <c r="C20" s="4">
        <f>IF($Q$6=TRUE,0,KEZDŐLAP!F26)</f>
        <v>17400</v>
      </c>
      <c r="D20" s="4">
        <f>IF($Q$6=TRUE,0,KEZDŐLAP!F26)</f>
        <v>17400</v>
      </c>
      <c r="E20" s="4">
        <f>IF(OR($Q$6,Q4,Q3,Q16,Q10)=TRUE,0,KEZDŐLAP!F25)</f>
        <v>10800</v>
      </c>
      <c r="F20" s="4">
        <f>IF($Q$6=TRUE,0,KEZDŐLAP!F25)</f>
        <v>10800</v>
      </c>
      <c r="G20" s="4">
        <f>IF(OR($Q$6,Q4,Q16,Q7,Q14)=TRUE,0,KEZDŐLAP!F26)</f>
        <v>17400</v>
      </c>
      <c r="H20" s="4">
        <f>KEZDŐLAP!F29</f>
        <v>28300</v>
      </c>
      <c r="I20" s="4">
        <f>KEZDŐLAP!F30</f>
        <v>6500</v>
      </c>
      <c r="K20" s="17"/>
      <c r="M20" s="171"/>
      <c r="N20" s="171"/>
      <c r="O20" s="171"/>
      <c r="P20" s="171"/>
      <c r="Q20" s="17"/>
    </row>
    <row r="21" spans="1:17" x14ac:dyDescent="0.25">
      <c r="F21" s="192" t="s">
        <v>88</v>
      </c>
      <c r="G21" s="199"/>
      <c r="H21" s="4">
        <f>SUM(B20:H20)</f>
        <v>112900</v>
      </c>
      <c r="K21" s="17"/>
      <c r="M21" s="171"/>
      <c r="N21" s="171"/>
      <c r="O21" s="171"/>
      <c r="P21" s="171"/>
      <c r="Q21" s="17"/>
    </row>
    <row r="22" spans="1:17" ht="15.75" customHeight="1" x14ac:dyDescent="0.25">
      <c r="K22" s="17"/>
      <c r="M22" s="171"/>
      <c r="N22" s="171"/>
      <c r="O22" s="171"/>
      <c r="P22" s="171"/>
      <c r="Q22" s="17"/>
    </row>
    <row r="23" spans="1:17" ht="30" customHeight="1" x14ac:dyDescent="0.25">
      <c r="B23" s="171" t="s">
        <v>236</v>
      </c>
      <c r="C23" s="171"/>
      <c r="D23" s="171"/>
      <c r="E23" s="171"/>
      <c r="F23" s="171"/>
      <c r="G23" s="171"/>
      <c r="H23" s="171"/>
      <c r="I23" s="171"/>
      <c r="K23" s="17"/>
      <c r="M23" s="17"/>
      <c r="N23" s="17"/>
      <c r="O23" s="17"/>
      <c r="P23" s="17"/>
      <c r="Q23" s="17"/>
    </row>
    <row r="24" spans="1:17" x14ac:dyDescent="0.25">
      <c r="B24" s="171" t="s">
        <v>239</v>
      </c>
      <c r="C24" s="171"/>
      <c r="D24" s="171"/>
      <c r="E24" s="171"/>
      <c r="F24" s="171"/>
      <c r="G24" s="171"/>
      <c r="H24" s="171"/>
      <c r="I24" s="171"/>
      <c r="K24" s="17"/>
      <c r="M24" s="17"/>
      <c r="N24" s="17"/>
      <c r="O24" s="17"/>
      <c r="P24" s="17"/>
      <c r="Q24" s="17"/>
    </row>
    <row r="25" spans="1:17" ht="15" customHeight="1" x14ac:dyDescent="0.25">
      <c r="B25" s="171" t="s">
        <v>237</v>
      </c>
      <c r="C25" s="171"/>
      <c r="D25" s="171"/>
      <c r="E25" s="171"/>
      <c r="F25" s="171"/>
      <c r="G25" s="171"/>
      <c r="H25" s="171"/>
      <c r="I25" s="171"/>
      <c r="K25" s="17"/>
      <c r="M25" s="17"/>
      <c r="N25" s="17"/>
      <c r="O25" s="17"/>
      <c r="P25" s="17"/>
      <c r="Q25" s="17"/>
    </row>
    <row r="26" spans="1:17" x14ac:dyDescent="0.25">
      <c r="B26" s="171" t="s">
        <v>238</v>
      </c>
      <c r="C26" s="171"/>
      <c r="D26" s="171"/>
      <c r="E26" s="171"/>
      <c r="F26" s="171"/>
      <c r="G26" s="171"/>
      <c r="H26" s="171"/>
      <c r="I26" s="171"/>
    </row>
    <row r="27" spans="1:17" x14ac:dyDescent="0.25">
      <c r="B27" s="17"/>
    </row>
    <row r="28" spans="1:17" x14ac:dyDescent="0.25">
      <c r="B28" s="17"/>
    </row>
    <row r="29" spans="1:17" x14ac:dyDescent="0.25">
      <c r="B29" s="17"/>
      <c r="K29" s="17"/>
    </row>
    <row r="30" spans="1:17" x14ac:dyDescent="0.25">
      <c r="K30" s="17"/>
    </row>
    <row r="31" spans="1:17" x14ac:dyDescent="0.25">
      <c r="K31" s="17"/>
    </row>
  </sheetData>
  <sheetProtection sheet="1" selectLockedCells="1"/>
  <protectedRanges>
    <protectedRange password="EFFA" sqref="L3:P12 K15 A15:A18 Q3:Q14 L15:M16 K13:P14 L17:L18 B1:P1 B3:I15 K17:K19 B16:H16 I18:J19 J2:J17 L2:Q2 B23" name="Tartomány1"/>
    <protectedRange password="EFFA" sqref="K2 K4:K12" name="Tartomány1_2"/>
    <protectedRange password="EFFA" sqref="A1" name="Tartomány1_3"/>
    <protectedRange password="EFFA" sqref="B2:I2" name="Tartomány1_4"/>
    <protectedRange password="EFFA" sqref="F18:H18 B17:H17 B18:C18 B19:H20" name="Tartomány1_5"/>
    <protectedRange password="EFFA" sqref="D18:E18" name="Tartomány1_4_1"/>
    <protectedRange password="EFFA" sqref="M17:P19" name="Tartomány1_2_1"/>
  </protectedRanges>
  <mergeCells count="24">
    <mergeCell ref="B23:I23"/>
    <mergeCell ref="B24:I24"/>
    <mergeCell ref="B25:I25"/>
    <mergeCell ref="B26:I26"/>
    <mergeCell ref="K6:K8"/>
    <mergeCell ref="K10:K13"/>
    <mergeCell ref="F21:G21"/>
    <mergeCell ref="M15:P16"/>
    <mergeCell ref="B15:I15"/>
    <mergeCell ref="B17:H17"/>
    <mergeCell ref="M17:P18"/>
    <mergeCell ref="M19:P22"/>
    <mergeCell ref="M6:P7"/>
    <mergeCell ref="M8:P9"/>
    <mergeCell ref="M10:P10"/>
    <mergeCell ref="M13:P14"/>
    <mergeCell ref="M11:P12"/>
    <mergeCell ref="B1:I1"/>
    <mergeCell ref="M1:P1"/>
    <mergeCell ref="M3:P3"/>
    <mergeCell ref="M4:P4"/>
    <mergeCell ref="M5:P5"/>
    <mergeCell ref="B2:I2"/>
    <mergeCell ref="K2:K4"/>
  </mergeCells>
  <conditionalFormatting sqref="B19:H19">
    <cfRule type="containsText" dxfId="69" priority="7" operator="containsText" text="Vizsga">
      <formula>NOT(ISERROR(SEARCH("Vizsga",B19)))</formula>
    </cfRule>
    <cfRule type="containsText" dxfId="68" priority="8" operator="containsText" text="&quot;Vizsga&quot;">
      <formula>NOT(ISERROR(SEARCH("""Vizsga""",B19)))</formula>
    </cfRule>
  </conditionalFormatting>
  <hyperlinks>
    <hyperlink ref="A1" location="KEZDŐLAP!A1" display="X" xr:uid="{00000000-0004-0000-0C00-000000000000}"/>
  </hyperlinks>
  <pageMargins left="0.7" right="0.7" top="0.75" bottom="0.75" header="0.3" footer="0.3"/>
  <pageSetup paperSize="9"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1" r:id="rId4" name="Check Box 1">
              <controlPr defaultSize="0" autoFill="0" autoLine="0" autoPict="0" altText="Van belvízi kedvtelési célú kishajó vezetői képesítés">
                <anchor moveWithCells="1">
                  <from>
                    <xdr:col>1</xdr:col>
                    <xdr:colOff>438150</xdr:colOff>
                    <xdr:row>7</xdr:row>
                    <xdr:rowOff>114300</xdr:rowOff>
                  </from>
                  <to>
                    <xdr:col>6</xdr:col>
                    <xdr:colOff>666750</xdr:colOff>
                    <xdr:row>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2" r:id="rId5" name="Check Box 2">
              <controlPr defaultSize="0" autoFill="0" autoLine="0" autoPict="0">
                <anchor moveWithCells="1">
                  <from>
                    <xdr:col>1</xdr:col>
                    <xdr:colOff>438150</xdr:colOff>
                    <xdr:row>10</xdr:row>
                    <xdr:rowOff>38100</xdr:rowOff>
                  </from>
                  <to>
                    <xdr:col>5</xdr:col>
                    <xdr:colOff>371475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3" r:id="rId6" name="Check Box 3">
              <controlPr defaultSize="0" autoFill="0" autoLine="0" autoPict="0">
                <anchor moveWithCells="1">
                  <from>
                    <xdr:col>1</xdr:col>
                    <xdr:colOff>438150</xdr:colOff>
                    <xdr:row>3</xdr:row>
                    <xdr:rowOff>95250</xdr:rowOff>
                  </from>
                  <to>
                    <xdr:col>6</xdr:col>
                    <xdr:colOff>666750</xdr:colOff>
                    <xdr:row>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4" r:id="rId7" name="Check Box 4">
              <controlPr defaultSize="0" autoFill="0" autoLine="0" autoPict="0" altText="Tengeri hajón, fedélzeti személyzet tagjaként legalább 9 hónap munkatapasztalat">
                <anchor moveWithCells="1">
                  <from>
                    <xdr:col>1</xdr:col>
                    <xdr:colOff>438150</xdr:colOff>
                    <xdr:row>12</xdr:row>
                    <xdr:rowOff>123825</xdr:rowOff>
                  </from>
                  <to>
                    <xdr:col>7</xdr:col>
                    <xdr:colOff>952500</xdr:colOff>
                    <xdr:row>13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5" r:id="rId8" name="Check Box 5">
              <controlPr defaultSize="0" autoFill="0" autoLine="0" autoPict="0">
                <anchor moveWithCells="1">
                  <from>
                    <xdr:col>1</xdr:col>
                    <xdr:colOff>438150</xdr:colOff>
                    <xdr:row>4</xdr:row>
                    <xdr:rowOff>161925</xdr:rowOff>
                  </from>
                  <to>
                    <xdr:col>6</xdr:col>
                    <xdr:colOff>666750</xdr:colOff>
                    <xdr:row>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6" r:id="rId9" name="Check Box 6">
              <controlPr defaultSize="0" autoFill="0" autoLine="0" autoPict="0">
                <anchor moveWithCells="1">
                  <from>
                    <xdr:col>1</xdr:col>
                    <xdr:colOff>438150</xdr:colOff>
                    <xdr:row>8</xdr:row>
                    <xdr:rowOff>180975</xdr:rowOff>
                  </from>
                  <to>
                    <xdr:col>5</xdr:col>
                    <xdr:colOff>257175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9" r:id="rId10" name="Check Box 9">
              <controlPr defaultSize="0" autoFill="0" autoLine="0" autoPict="0">
                <anchor moveWithCells="1">
                  <from>
                    <xdr:col>1</xdr:col>
                    <xdr:colOff>438150</xdr:colOff>
                    <xdr:row>11</xdr:row>
                    <xdr:rowOff>85725</xdr:rowOff>
                  </from>
                  <to>
                    <xdr:col>5</xdr:col>
                    <xdr:colOff>257175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2" r:id="rId11" name="Check Box 12">
              <controlPr defaultSize="0" autoFill="0" autoLine="0" autoPict="0">
                <anchor moveWithCells="1">
                  <from>
                    <xdr:col>1</xdr:col>
                    <xdr:colOff>438150</xdr:colOff>
                    <xdr:row>13</xdr:row>
                    <xdr:rowOff>142875</xdr:rowOff>
                  </from>
                  <to>
                    <xdr:col>5</xdr:col>
                    <xdr:colOff>371475</xdr:colOff>
                    <xdr:row>14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3" r:id="rId12" name="Check Box 13">
              <controlPr defaultSize="0" autoFill="0" autoLine="0" autoPict="0">
                <anchor moveWithCells="1">
                  <from>
                    <xdr:col>1</xdr:col>
                    <xdr:colOff>438150</xdr:colOff>
                    <xdr:row>6</xdr:row>
                    <xdr:rowOff>47625</xdr:rowOff>
                  </from>
                  <to>
                    <xdr:col>6</xdr:col>
                    <xdr:colOff>666750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6" r:id="rId13" name="Check Box 16">
              <controlPr defaultSize="0" autoFill="0" autoLine="0" autoPict="0">
                <anchor moveWithCells="1">
                  <from>
                    <xdr:col>1</xdr:col>
                    <xdr:colOff>438150</xdr:colOff>
                    <xdr:row>2</xdr:row>
                    <xdr:rowOff>28575</xdr:rowOff>
                  </from>
                  <to>
                    <xdr:col>6</xdr:col>
                    <xdr:colOff>666750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7" r:id="rId14" name="Check Box 17">
              <controlPr defaultSize="0" autoFill="0" autoLine="0" autoPict="0">
                <anchor moveWithCells="1">
                  <from>
                    <xdr:col>1</xdr:col>
                    <xdr:colOff>438150</xdr:colOff>
                    <xdr:row>14</xdr:row>
                    <xdr:rowOff>142875</xdr:rowOff>
                  </from>
                  <to>
                    <xdr:col>8</xdr:col>
                    <xdr:colOff>933450</xdr:colOff>
                    <xdr:row>15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Munka15">
    <tabColor rgb="FF00B0F0"/>
  </sheetPr>
  <dimension ref="A1:Q15"/>
  <sheetViews>
    <sheetView zoomScaleNormal="100" workbookViewId="0"/>
  </sheetViews>
  <sheetFormatPr defaultRowHeight="15" x14ac:dyDescent="0.25"/>
  <cols>
    <col min="1" max="1" width="3.42578125" customWidth="1"/>
    <col min="2" max="3" width="14.5703125" customWidth="1"/>
    <col min="4" max="8" width="9.140625" customWidth="1"/>
    <col min="9" max="9" width="5" customWidth="1"/>
    <col min="10" max="10" width="2.28515625" customWidth="1"/>
    <col min="11" max="11" width="66.7109375" customWidth="1"/>
    <col min="12" max="12" width="2.42578125" customWidth="1"/>
    <col min="13" max="13" width="9" customWidth="1"/>
    <col min="17" max="17" width="2.42578125" customWidth="1"/>
  </cols>
  <sheetData>
    <row r="1" spans="1:17" x14ac:dyDescent="0.25">
      <c r="A1" s="26" t="s">
        <v>43</v>
      </c>
      <c r="B1" s="147" t="s">
        <v>40</v>
      </c>
      <c r="C1" s="147"/>
      <c r="D1" s="147"/>
      <c r="E1" s="147"/>
      <c r="F1" s="147"/>
      <c r="G1" s="147"/>
      <c r="H1" s="147"/>
      <c r="I1" s="147"/>
      <c r="K1" s="5" t="s">
        <v>41</v>
      </c>
      <c r="M1" s="147" t="s">
        <v>6</v>
      </c>
      <c r="N1" s="147"/>
      <c r="O1" s="147"/>
      <c r="P1" s="147"/>
    </row>
    <row r="2" spans="1:17" ht="5.25" customHeight="1" x14ac:dyDescent="0.25">
      <c r="A2" s="24"/>
      <c r="K2" s="1"/>
    </row>
    <row r="3" spans="1:17" ht="15" customHeight="1" x14ac:dyDescent="0.25">
      <c r="B3" s="148" t="s">
        <v>60</v>
      </c>
      <c r="C3" s="148"/>
      <c r="D3" s="148"/>
      <c r="E3" s="148"/>
      <c r="F3" s="148"/>
      <c r="G3" s="148"/>
      <c r="H3" s="148"/>
      <c r="I3" s="148"/>
      <c r="K3" s="201" t="s">
        <v>214</v>
      </c>
      <c r="M3" s="150" t="s">
        <v>11</v>
      </c>
      <c r="N3" s="150"/>
      <c r="O3" s="150"/>
      <c r="P3" s="150"/>
      <c r="Q3" s="25"/>
    </row>
    <row r="4" spans="1:17" ht="15" customHeight="1" x14ac:dyDescent="0.25">
      <c r="B4" s="8"/>
      <c r="C4" s="8"/>
      <c r="D4" s="8"/>
      <c r="E4" s="8"/>
      <c r="F4" s="8"/>
      <c r="G4" s="8"/>
      <c r="H4" s="8"/>
      <c r="I4" s="8"/>
      <c r="K4" s="201"/>
      <c r="M4" s="151" t="s">
        <v>9</v>
      </c>
      <c r="N4" s="151"/>
      <c r="O4" s="151"/>
      <c r="P4" s="151"/>
      <c r="Q4" s="25"/>
    </row>
    <row r="5" spans="1:17" ht="15" customHeight="1" x14ac:dyDescent="0.25">
      <c r="B5" s="8"/>
      <c r="C5" s="8"/>
      <c r="D5" s="8"/>
      <c r="E5" s="8"/>
      <c r="F5" s="8"/>
      <c r="G5" s="8"/>
      <c r="H5" s="8"/>
      <c r="I5" s="8"/>
      <c r="K5" s="201"/>
      <c r="M5" s="151" t="s">
        <v>33</v>
      </c>
      <c r="N5" s="151"/>
      <c r="O5" s="151"/>
      <c r="P5" s="151"/>
      <c r="Q5" s="25">
        <v>1</v>
      </c>
    </row>
    <row r="6" spans="1:17" ht="16.5" customHeight="1" x14ac:dyDescent="0.25">
      <c r="B6" s="8"/>
      <c r="C6" s="8"/>
      <c r="D6" s="8"/>
      <c r="E6" s="8"/>
      <c r="F6" s="8"/>
      <c r="G6" s="8"/>
      <c r="H6" s="8"/>
      <c r="I6" s="8"/>
      <c r="K6" s="201"/>
      <c r="M6" s="175" t="str">
        <f>IF(Q5&lt;4,"Igazolás a vizsgát megelőző fél éven belül megtartott alaptanfolyam elvégzéséről","Igazolás a bizonyítvány lejárati időpontja előtt megtartott ismeretfelújító tanfolyam elvégzéséről")</f>
        <v>Igazolás a vizsgát megelőző fél éven belül megtartott alaptanfolyam elvégzéséről</v>
      </c>
      <c r="N6" s="175"/>
      <c r="O6" s="175"/>
      <c r="P6" s="175"/>
      <c r="Q6" s="25"/>
    </row>
    <row r="7" spans="1:17" ht="15" customHeight="1" x14ac:dyDescent="0.25">
      <c r="B7" s="8"/>
      <c r="C7" s="8"/>
      <c r="D7" s="8"/>
      <c r="E7" s="8"/>
      <c r="F7" s="8"/>
      <c r="G7" s="8"/>
      <c r="H7" s="8"/>
      <c r="I7" s="8"/>
      <c r="K7" s="201"/>
      <c r="M7" s="175"/>
      <c r="N7" s="175"/>
      <c r="O7" s="175"/>
      <c r="P7" s="175"/>
      <c r="Q7" s="25"/>
    </row>
    <row r="8" spans="1:17" x14ac:dyDescent="0.25">
      <c r="B8" s="8"/>
      <c r="C8" s="8"/>
      <c r="D8" s="8"/>
      <c r="E8" s="8"/>
      <c r="F8" s="8"/>
      <c r="G8" s="8"/>
      <c r="H8" s="8"/>
      <c r="I8" s="8"/>
      <c r="K8" s="201"/>
      <c r="M8" s="175"/>
      <c r="N8" s="175"/>
      <c r="O8" s="175"/>
      <c r="P8" s="175"/>
      <c r="Q8" s="25"/>
    </row>
    <row r="9" spans="1:17" x14ac:dyDescent="0.25">
      <c r="B9" s="8"/>
      <c r="C9" s="8"/>
      <c r="D9" s="8"/>
      <c r="E9" s="8"/>
      <c r="F9" s="8"/>
      <c r="G9" s="8"/>
      <c r="H9" s="8"/>
      <c r="I9" s="8"/>
      <c r="J9" s="9"/>
      <c r="K9" s="201"/>
      <c r="M9" s="196"/>
      <c r="N9" s="196"/>
      <c r="O9" s="196"/>
      <c r="P9" s="196"/>
      <c r="Q9" s="25"/>
    </row>
    <row r="10" spans="1:17" ht="126.75" customHeight="1" x14ac:dyDescent="0.25">
      <c r="B10" s="200"/>
      <c r="C10" s="200"/>
      <c r="D10" s="200"/>
      <c r="E10" s="200"/>
      <c r="F10" s="200"/>
      <c r="G10" s="200"/>
      <c r="H10" s="200"/>
      <c r="I10" s="200"/>
      <c r="K10" s="201"/>
      <c r="Q10" s="25"/>
    </row>
    <row r="11" spans="1:17" ht="8.25" customHeight="1" x14ac:dyDescent="0.25">
      <c r="M11" s="17"/>
      <c r="N11" s="17"/>
      <c r="O11" s="17"/>
      <c r="P11" s="17"/>
    </row>
    <row r="12" spans="1:17" x14ac:dyDescent="0.25">
      <c r="B12" s="158" t="s">
        <v>13</v>
      </c>
      <c r="C12" s="158"/>
      <c r="K12" s="1" t="s">
        <v>12</v>
      </c>
      <c r="M12" s="2"/>
      <c r="N12" s="2"/>
      <c r="O12" s="2"/>
      <c r="P12" s="2"/>
    </row>
    <row r="13" spans="1:17" s="2" customFormat="1" ht="99" customHeight="1" x14ac:dyDescent="0.25">
      <c r="B13" s="48" t="s">
        <v>92</v>
      </c>
      <c r="C13" s="48" t="s">
        <v>93</v>
      </c>
      <c r="D13" s="56" t="s">
        <v>103</v>
      </c>
      <c r="E13"/>
      <c r="H13"/>
      <c r="K13" s="10">
        <f>SUM(B15:D15)</f>
        <v>17300</v>
      </c>
      <c r="L13" s="1"/>
    </row>
    <row r="14" spans="1:17" s="2" customFormat="1" ht="15.75" customHeight="1" x14ac:dyDescent="0.25">
      <c r="B14" s="6" t="str">
        <f>IF(B15&lt;&gt;0,"Vizsga","-")</f>
        <v>Vizsga</v>
      </c>
      <c r="C14" s="6" t="str">
        <f>IF(C15=0,"-","Vizsga")</f>
        <v>-</v>
      </c>
      <c r="D14" s="55" t="s">
        <v>85</v>
      </c>
      <c r="E14"/>
      <c r="I14"/>
      <c r="J14"/>
      <c r="K14"/>
      <c r="L14"/>
    </row>
    <row r="15" spans="1:17" s="1" customFormat="1" x14ac:dyDescent="0.25">
      <c r="B15" s="4">
        <f>IF(Q5&lt;4,KEZDŐLAP!F25,0)</f>
        <v>10800</v>
      </c>
      <c r="C15" s="4">
        <f>IF(Q5&gt;3,KEZDŐLAP!F25,0)</f>
        <v>0</v>
      </c>
      <c r="D15" s="4">
        <f>KEZDŐLAP!F30</f>
        <v>6500</v>
      </c>
      <c r="E15"/>
      <c r="H15" s="2"/>
      <c r="I15"/>
      <c r="J15"/>
      <c r="K15"/>
      <c r="L15"/>
    </row>
  </sheetData>
  <sheetProtection sheet="1" selectLockedCells="1"/>
  <protectedRanges>
    <protectedRange password="EFFA" sqref="A2:P2 A11:B14 C13:C14 G14:G15 F11:G12 M9:P10 H11:I11 Q3:Q10 L3:L10 M3:P5 B1:P1 C11:E12 B3:J10 A15:C15 M12:P12 F13:F15 H13:H15 J11:L13" name="Tartomány1"/>
    <protectedRange password="EFFA" sqref="K3:K10" name="Tartomány1_2"/>
    <protectedRange password="EFFA" sqref="M11:P11" name="Tartomány1_1_1"/>
    <protectedRange password="EFFA" sqref="A1" name="Tartomány1_3"/>
  </protectedRanges>
  <mergeCells count="11">
    <mergeCell ref="B12:C12"/>
    <mergeCell ref="M5:P5"/>
    <mergeCell ref="M6:P8"/>
    <mergeCell ref="B10:I10"/>
    <mergeCell ref="B1:I1"/>
    <mergeCell ref="M1:P1"/>
    <mergeCell ref="K3:K10"/>
    <mergeCell ref="M3:P3"/>
    <mergeCell ref="M4:P4"/>
    <mergeCell ref="M9:P9"/>
    <mergeCell ref="B3:I3"/>
  </mergeCells>
  <conditionalFormatting sqref="B14:C14">
    <cfRule type="containsText" dxfId="67" priority="1" operator="containsText" text="Vizsga">
      <formula>NOT(ISERROR(SEARCH("Vizsga",B14)))</formula>
    </cfRule>
    <cfRule type="containsText" dxfId="66" priority="2" operator="containsText" text="&quot;Vizsga&quot;">
      <formula>NOT(ISERROR(SEARCH("""Vizsga""",B14)))</formula>
    </cfRule>
  </conditionalFormatting>
  <hyperlinks>
    <hyperlink ref="A1" location="KEZDŐLAP!A1" display="X" xr:uid="{00000000-0004-0000-0F00-000000000000}"/>
  </hyperlinks>
  <pageMargins left="0.7" right="0.7" top="0.75" bottom="0.75" header="0.3" footer="0.3"/>
  <pageSetup paperSize="9"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679" r:id="rId4" name="Option Button 7">
              <controlPr defaultSize="0" autoFill="0" autoLine="0" autoPict="0">
                <anchor moveWithCells="1">
                  <from>
                    <xdr:col>1</xdr:col>
                    <xdr:colOff>85725</xdr:colOff>
                    <xdr:row>4</xdr:row>
                    <xdr:rowOff>38100</xdr:rowOff>
                  </from>
                  <to>
                    <xdr:col>8</xdr:col>
                    <xdr:colOff>285750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7" r:id="rId5" name="Option Button 15">
              <controlPr defaultSize="0" autoFill="0" autoLine="0" autoPict="0">
                <anchor moveWithCells="1">
                  <from>
                    <xdr:col>1</xdr:col>
                    <xdr:colOff>85725</xdr:colOff>
                    <xdr:row>5</xdr:row>
                    <xdr:rowOff>47625</xdr:rowOff>
                  </from>
                  <to>
                    <xdr:col>8</xdr:col>
                    <xdr:colOff>228600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8" r:id="rId6" name="Option Button 16">
              <controlPr defaultSize="0" autoFill="0" autoLine="0" autoPict="0">
                <anchor moveWithCells="1">
                  <from>
                    <xdr:col>1</xdr:col>
                    <xdr:colOff>85725</xdr:colOff>
                    <xdr:row>6</xdr:row>
                    <xdr:rowOff>57150</xdr:rowOff>
                  </from>
                  <to>
                    <xdr:col>8</xdr:col>
                    <xdr:colOff>285750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9" r:id="rId7" name="Option Button 17">
              <controlPr defaultSize="0" autoFill="0" autoLine="0" autoPict="0">
                <anchor moveWithCells="1">
                  <from>
                    <xdr:col>1</xdr:col>
                    <xdr:colOff>85725</xdr:colOff>
                    <xdr:row>7</xdr:row>
                    <xdr:rowOff>85725</xdr:rowOff>
                  </from>
                  <to>
                    <xdr:col>8</xdr:col>
                    <xdr:colOff>304800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0" r:id="rId8" name="Option Button 18">
              <controlPr defaultSize="0" autoFill="0" autoLine="0" autoPict="0">
                <anchor moveWithCells="1">
                  <from>
                    <xdr:col>1</xdr:col>
                    <xdr:colOff>85725</xdr:colOff>
                    <xdr:row>8</xdr:row>
                    <xdr:rowOff>95250</xdr:rowOff>
                  </from>
                  <to>
                    <xdr:col>8</xdr:col>
                    <xdr:colOff>238125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1" r:id="rId9" name="Option Button 19">
              <controlPr defaultSize="0" autoFill="0" autoLine="0" autoPict="0">
                <anchor moveWithCells="1">
                  <from>
                    <xdr:col>1</xdr:col>
                    <xdr:colOff>85725</xdr:colOff>
                    <xdr:row>9</xdr:row>
                    <xdr:rowOff>104775</xdr:rowOff>
                  </from>
                  <to>
                    <xdr:col>8</xdr:col>
                    <xdr:colOff>228600</xdr:colOff>
                    <xdr:row>9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Munka17">
    <tabColor rgb="FF00B0F0"/>
  </sheetPr>
  <dimension ref="A1:O13"/>
  <sheetViews>
    <sheetView workbookViewId="0"/>
  </sheetViews>
  <sheetFormatPr defaultRowHeight="15" x14ac:dyDescent="0.25"/>
  <cols>
    <col min="1" max="1" width="3.42578125" customWidth="1"/>
    <col min="2" max="2" width="17.85546875" customWidth="1"/>
    <col min="3" max="4" width="8.85546875" customWidth="1"/>
    <col min="5" max="6" width="10" customWidth="1"/>
    <col min="7" max="8" width="8.85546875" customWidth="1"/>
    <col min="9" max="10" width="3.140625" customWidth="1"/>
    <col min="11" max="14" width="11.85546875" customWidth="1"/>
    <col min="15" max="15" width="9.140625" style="24" hidden="1" customWidth="1"/>
  </cols>
  <sheetData>
    <row r="1" spans="1:15" x14ac:dyDescent="0.25">
      <c r="A1" s="26" t="s">
        <v>43</v>
      </c>
      <c r="B1" s="147" t="s">
        <v>42</v>
      </c>
      <c r="C1" s="147"/>
      <c r="D1" s="147"/>
      <c r="E1" s="147"/>
      <c r="F1" s="147"/>
      <c r="G1" s="147"/>
      <c r="H1" s="147"/>
    </row>
    <row r="2" spans="1:15" ht="17.25" customHeight="1" x14ac:dyDescent="0.25">
      <c r="B2" s="203"/>
      <c r="C2" s="203"/>
      <c r="D2" s="203"/>
      <c r="E2" s="203"/>
      <c r="F2" s="203"/>
      <c r="G2" s="203"/>
      <c r="H2" s="203"/>
    </row>
    <row r="3" spans="1:15" ht="15" customHeight="1" x14ac:dyDescent="0.25">
      <c r="B3" s="147" t="s">
        <v>6</v>
      </c>
      <c r="C3" s="147"/>
      <c r="D3" s="147"/>
      <c r="E3" s="147"/>
      <c r="O3" s="25" t="b">
        <v>0</v>
      </c>
    </row>
    <row r="4" spans="1:15" x14ac:dyDescent="0.25">
      <c r="B4" s="179" t="s">
        <v>213</v>
      </c>
      <c r="C4" s="180"/>
      <c r="D4" s="180"/>
      <c r="E4" s="181"/>
      <c r="O4" s="25" t="b">
        <v>0</v>
      </c>
    </row>
    <row r="5" spans="1:15" x14ac:dyDescent="0.25">
      <c r="B5" s="150" t="s">
        <v>11</v>
      </c>
      <c r="C5" s="150"/>
      <c r="D5" s="150"/>
      <c r="E5" s="150"/>
      <c r="O5" s="25"/>
    </row>
    <row r="6" spans="1:15" x14ac:dyDescent="0.25">
      <c r="B6" s="151" t="s">
        <v>9</v>
      </c>
      <c r="C6" s="151"/>
      <c r="D6" s="151"/>
      <c r="E6" s="151"/>
      <c r="O6" s="25"/>
    </row>
    <row r="7" spans="1:15" x14ac:dyDescent="0.25">
      <c r="K7" s="196"/>
      <c r="L7" s="196"/>
      <c r="M7" s="196"/>
      <c r="N7" s="196"/>
      <c r="O7" s="25"/>
    </row>
    <row r="8" spans="1:15" ht="8.25" customHeight="1" x14ac:dyDescent="0.25"/>
    <row r="9" spans="1:15" ht="39" customHeight="1" x14ac:dyDescent="0.25">
      <c r="B9" s="106" t="s">
        <v>13</v>
      </c>
      <c r="E9" s="191" t="s">
        <v>89</v>
      </c>
      <c r="F9" s="191"/>
      <c r="K9" s="171"/>
      <c r="L9" s="171"/>
      <c r="M9" s="171"/>
      <c r="N9" s="171"/>
    </row>
    <row r="10" spans="1:15" s="2" customFormat="1" ht="124.5" customHeight="1" x14ac:dyDescent="0.25">
      <c r="B10" s="3" t="s">
        <v>42</v>
      </c>
      <c r="C10" s="48" t="s">
        <v>230</v>
      </c>
      <c r="D10"/>
      <c r="E10" s="202">
        <f>SUM(B12:C12)</f>
        <v>17300</v>
      </c>
      <c r="F10" s="202"/>
      <c r="G10"/>
      <c r="H10"/>
      <c r="J10"/>
      <c r="O10" s="27"/>
    </row>
    <row r="11" spans="1:15" s="2" customFormat="1" ht="15.75" customHeight="1" x14ac:dyDescent="0.25">
      <c r="B11" s="6" t="str">
        <f>IF(B12&lt;&gt;0,"Vizsga","-")</f>
        <v>Vizsga</v>
      </c>
      <c r="C11" s="42" t="s">
        <v>85</v>
      </c>
      <c r="D11"/>
      <c r="E11"/>
      <c r="F11"/>
      <c r="G11"/>
      <c r="H11"/>
      <c r="N11" s="1"/>
      <c r="O11" s="27"/>
    </row>
    <row r="12" spans="1:15" s="1" customFormat="1" x14ac:dyDescent="0.25">
      <c r="B12" s="4">
        <f>KEZDŐLAP!F25</f>
        <v>10800</v>
      </c>
      <c r="C12" s="41">
        <f>KEZDŐLAP!F30</f>
        <v>6500</v>
      </c>
      <c r="D12"/>
      <c r="E12"/>
      <c r="F12"/>
      <c r="G12"/>
      <c r="H12"/>
      <c r="J12" s="2"/>
      <c r="K12"/>
      <c r="L12"/>
      <c r="M12"/>
      <c r="N12"/>
      <c r="O12" s="28"/>
    </row>
    <row r="13" spans="1:15" x14ac:dyDescent="0.25">
      <c r="B13" s="46" t="s">
        <v>88</v>
      </c>
      <c r="C13" s="45">
        <f>SUM(B12:B12)</f>
        <v>10800</v>
      </c>
    </row>
  </sheetData>
  <sheetProtection sheet="1" selectLockedCells="1"/>
  <protectedRanges>
    <protectedRange password="EFFA" sqref="K10:N11 K7:N8 B1 F3:I6 B3:E3 B4:E4 E10 C8:I8 A8:B12 I9:I12 I2 C1:I1 B7:I7 J1:J12 O2:O7 B5:E6" name="Tartomány1"/>
    <protectedRange password="EFFA" sqref="K9:N9" name="Tartomány1_1_1"/>
    <protectedRange password="EFFA" sqref="A1" name="Tartomány1_3"/>
    <protectedRange password="EFFA" sqref="B2:H2" name="Tartomány1_4"/>
    <protectedRange password="EFFA" sqref="C10:C12" name="Tartomány1_1"/>
    <protectedRange password="EFFA" sqref="E9" name="Tartomány1_5"/>
  </protectedRanges>
  <mergeCells count="10">
    <mergeCell ref="E10:F10"/>
    <mergeCell ref="E9:F9"/>
    <mergeCell ref="K7:N7"/>
    <mergeCell ref="K9:N9"/>
    <mergeCell ref="B1:H1"/>
    <mergeCell ref="B3:E3"/>
    <mergeCell ref="B5:E5"/>
    <mergeCell ref="B6:E6"/>
    <mergeCell ref="B2:H2"/>
    <mergeCell ref="B4:E4"/>
  </mergeCells>
  <conditionalFormatting sqref="B11">
    <cfRule type="containsText" dxfId="65" priority="1" operator="containsText" text="Vizsga">
      <formula>NOT(ISERROR(SEARCH("Vizsga",B11)))</formula>
    </cfRule>
    <cfRule type="containsText" dxfId="64" priority="2" operator="containsText" text="&quot;Vizsga&quot;">
      <formula>NOT(ISERROR(SEARCH("""Vizsga""",B11)))</formula>
    </cfRule>
  </conditionalFormatting>
  <hyperlinks>
    <hyperlink ref="A1" location="KEZDŐLAP!A1" display="X" xr:uid="{00000000-0004-0000-1100-000000000000}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Munka18">
    <tabColor rgb="FF00B0F0"/>
  </sheetPr>
  <dimension ref="A1:AC14"/>
  <sheetViews>
    <sheetView zoomScale="85" zoomScaleNormal="85" workbookViewId="0">
      <selection sqref="A1:A2"/>
    </sheetView>
  </sheetViews>
  <sheetFormatPr defaultRowHeight="15" x14ac:dyDescent="0.25"/>
  <cols>
    <col min="1" max="1" width="65.140625" style="2" customWidth="1"/>
    <col min="2" max="16" width="9.140625" style="19" customWidth="1"/>
    <col min="17" max="17" width="3.5703125" customWidth="1"/>
    <col min="18" max="29" width="7.42578125" customWidth="1"/>
  </cols>
  <sheetData>
    <row r="1" spans="1:29" s="30" customFormat="1" ht="166.5" customHeight="1" x14ac:dyDescent="0.25">
      <c r="A1" s="206" t="s">
        <v>43</v>
      </c>
      <c r="B1" s="131" t="s">
        <v>44</v>
      </c>
      <c r="C1" s="129" t="s">
        <v>45</v>
      </c>
      <c r="D1" s="129" t="s">
        <v>46</v>
      </c>
      <c r="E1" s="129" t="s">
        <v>47</v>
      </c>
      <c r="F1" s="129" t="s">
        <v>48</v>
      </c>
      <c r="G1" s="129" t="s">
        <v>49</v>
      </c>
      <c r="H1" s="130" t="s">
        <v>50</v>
      </c>
      <c r="I1" s="131" t="s">
        <v>51</v>
      </c>
      <c r="J1" s="129" t="s">
        <v>52</v>
      </c>
      <c r="K1" s="129" t="s">
        <v>53</v>
      </c>
      <c r="L1" s="129" t="s">
        <v>275</v>
      </c>
      <c r="M1" s="129" t="s">
        <v>276</v>
      </c>
      <c r="N1" s="129" t="s">
        <v>277</v>
      </c>
      <c r="O1" s="130" t="s">
        <v>278</v>
      </c>
      <c r="P1" s="211" t="s">
        <v>54</v>
      </c>
    </row>
    <row r="2" spans="1:29" s="30" customFormat="1" ht="22.5" customHeight="1" thickBot="1" x14ac:dyDescent="0.3">
      <c r="A2" s="207"/>
      <c r="B2" s="208" t="s">
        <v>269</v>
      </c>
      <c r="C2" s="209"/>
      <c r="D2" s="209"/>
      <c r="E2" s="209"/>
      <c r="F2" s="209"/>
      <c r="G2" s="209"/>
      <c r="H2" s="210"/>
      <c r="I2" s="213" t="s">
        <v>270</v>
      </c>
      <c r="J2" s="213"/>
      <c r="K2" s="213"/>
      <c r="L2" s="213"/>
      <c r="M2" s="213"/>
      <c r="N2" s="213"/>
      <c r="O2" s="214"/>
      <c r="P2" s="212"/>
    </row>
    <row r="3" spans="1:29" s="31" customFormat="1" ht="36.75" customHeight="1" x14ac:dyDescent="0.25">
      <c r="A3" s="136" t="s">
        <v>55</v>
      </c>
      <c r="B3" s="137">
        <f>KEZDŐLAP!$F$26</f>
        <v>17400</v>
      </c>
      <c r="C3" s="138">
        <f>KEZDŐLAP!$F$26</f>
        <v>17400</v>
      </c>
      <c r="D3" s="138">
        <f>KEZDŐLAP!$F$26</f>
        <v>17400</v>
      </c>
      <c r="E3" s="138">
        <f>KEZDŐLAP!$F$26</f>
        <v>17400</v>
      </c>
      <c r="F3" s="138">
        <f>KEZDŐLAP!$F$26</f>
        <v>17400</v>
      </c>
      <c r="G3" s="138"/>
      <c r="H3" s="138"/>
      <c r="I3" s="138"/>
      <c r="J3" s="138"/>
      <c r="K3" s="138"/>
      <c r="L3" s="138"/>
      <c r="M3" s="138"/>
      <c r="N3" s="138"/>
      <c r="O3" s="138"/>
      <c r="P3" s="139">
        <f>SUM(B3:O3)</f>
        <v>87000</v>
      </c>
      <c r="R3" s="204" t="s">
        <v>280</v>
      </c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</row>
    <row r="4" spans="1:29" s="31" customFormat="1" ht="36.75" customHeight="1" x14ac:dyDescent="0.25">
      <c r="A4" s="32" t="s">
        <v>56</v>
      </c>
      <c r="B4" s="105"/>
      <c r="C4" s="33"/>
      <c r="D4" s="33"/>
      <c r="E4" s="33"/>
      <c r="F4" s="33"/>
      <c r="G4" s="33">
        <f>KEZDŐLAP!$F$26</f>
        <v>17400</v>
      </c>
      <c r="H4" s="33"/>
      <c r="I4" s="33"/>
      <c r="J4" s="33"/>
      <c r="K4" s="33"/>
      <c r="L4" s="33"/>
      <c r="M4" s="33"/>
      <c r="N4" s="33"/>
      <c r="O4" s="33"/>
      <c r="P4" s="39">
        <f t="shared" ref="P4:P13" si="0">SUM(B4:O4)</f>
        <v>17400</v>
      </c>
      <c r="Q4" s="3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</row>
    <row r="5" spans="1:29" s="31" customFormat="1" ht="36.75" customHeight="1" x14ac:dyDescent="0.25">
      <c r="A5" s="32" t="s">
        <v>57</v>
      </c>
      <c r="B5" s="105"/>
      <c r="C5" s="33"/>
      <c r="D5" s="33"/>
      <c r="E5" s="33"/>
      <c r="F5" s="33"/>
      <c r="G5" s="33"/>
      <c r="H5" s="33">
        <f>KEZDŐLAP!$F$26</f>
        <v>17400</v>
      </c>
      <c r="I5" s="33"/>
      <c r="J5" s="33"/>
      <c r="K5" s="33"/>
      <c r="L5" s="33"/>
      <c r="M5" s="33"/>
      <c r="N5" s="33"/>
      <c r="O5" s="33"/>
      <c r="P5" s="39">
        <f t="shared" si="0"/>
        <v>17400</v>
      </c>
      <c r="Q5" s="3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</row>
    <row r="6" spans="1:29" s="31" customFormat="1" ht="36.75" customHeight="1" x14ac:dyDescent="0.25">
      <c r="A6" s="32" t="s">
        <v>271</v>
      </c>
      <c r="B6" s="105"/>
      <c r="C6" s="33"/>
      <c r="D6" s="33"/>
      <c r="E6" s="33"/>
      <c r="F6" s="33"/>
      <c r="G6" s="33"/>
      <c r="H6" s="33"/>
      <c r="I6" s="33">
        <f>KEZDŐLAP!$F$26</f>
        <v>17400</v>
      </c>
      <c r="J6" s="33">
        <f>KEZDŐLAP!$F$26</f>
        <v>17400</v>
      </c>
      <c r="K6" s="33">
        <f>KEZDŐLAP!$F$26</f>
        <v>17400</v>
      </c>
      <c r="L6" s="33">
        <f>KEZDŐLAP!$F$26</f>
        <v>17400</v>
      </c>
      <c r="M6" s="33"/>
      <c r="N6" s="33"/>
      <c r="O6" s="33"/>
      <c r="P6" s="39">
        <f t="shared" si="0"/>
        <v>69600</v>
      </c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</row>
    <row r="7" spans="1:29" s="31" customFormat="1" ht="36.75" customHeight="1" x14ac:dyDescent="0.25">
      <c r="A7" s="32" t="s">
        <v>272</v>
      </c>
      <c r="B7" s="105"/>
      <c r="C7" s="33"/>
      <c r="D7" s="33"/>
      <c r="E7" s="33"/>
      <c r="F7" s="33"/>
      <c r="G7" s="33"/>
      <c r="H7" s="33"/>
      <c r="I7" s="33">
        <f>KEZDŐLAP!$F$26</f>
        <v>17400</v>
      </c>
      <c r="J7" s="33">
        <f>KEZDŐLAP!$F$26</f>
        <v>17400</v>
      </c>
      <c r="K7" s="33">
        <f>KEZDŐLAP!$F$26</f>
        <v>17400</v>
      </c>
      <c r="L7" s="33"/>
      <c r="M7" s="33">
        <f>KEZDŐLAP!$F$26</f>
        <v>17400</v>
      </c>
      <c r="N7" s="33"/>
      <c r="O7" s="33"/>
      <c r="P7" s="39">
        <f t="shared" si="0"/>
        <v>69600</v>
      </c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</row>
    <row r="8" spans="1:29" s="31" customFormat="1" ht="36.75" customHeight="1" x14ac:dyDescent="0.25">
      <c r="A8" s="32" t="s">
        <v>273</v>
      </c>
      <c r="B8" s="105"/>
      <c r="C8" s="33"/>
      <c r="D8" s="33"/>
      <c r="E8" s="33"/>
      <c r="F8" s="33"/>
      <c r="G8" s="33"/>
      <c r="H8" s="33"/>
      <c r="I8" s="33">
        <f>KEZDŐLAP!$F$26</f>
        <v>17400</v>
      </c>
      <c r="J8" s="33">
        <f>KEZDŐLAP!$F$26</f>
        <v>17400</v>
      </c>
      <c r="K8" s="33">
        <f>KEZDŐLAP!$F$26</f>
        <v>17400</v>
      </c>
      <c r="L8" s="33"/>
      <c r="M8" s="33"/>
      <c r="N8" s="33">
        <f>KEZDŐLAP!$F$26</f>
        <v>17400</v>
      </c>
      <c r="O8" s="33"/>
      <c r="P8" s="39">
        <f t="shared" si="0"/>
        <v>69600</v>
      </c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</row>
    <row r="9" spans="1:29" s="31" customFormat="1" ht="36.75" customHeight="1" x14ac:dyDescent="0.25">
      <c r="A9" s="32" t="s">
        <v>274</v>
      </c>
      <c r="B9" s="105"/>
      <c r="C9" s="33"/>
      <c r="D9" s="33"/>
      <c r="E9" s="33"/>
      <c r="F9" s="33"/>
      <c r="G9" s="33"/>
      <c r="H9" s="33"/>
      <c r="I9" s="33">
        <f>KEZDŐLAP!$F$26</f>
        <v>17400</v>
      </c>
      <c r="J9" s="33">
        <f>KEZDŐLAP!$F$26</f>
        <v>17400</v>
      </c>
      <c r="K9" s="33">
        <f>KEZDŐLAP!$F$26</f>
        <v>17400</v>
      </c>
      <c r="L9" s="33"/>
      <c r="M9" s="33"/>
      <c r="N9" s="33"/>
      <c r="O9" s="33">
        <f>KEZDŐLAP!$F$26</f>
        <v>17400</v>
      </c>
      <c r="P9" s="39">
        <f t="shared" si="0"/>
        <v>69600</v>
      </c>
      <c r="R9" s="126"/>
      <c r="S9" s="126"/>
      <c r="T9" s="126"/>
      <c r="U9" s="126"/>
      <c r="W9" s="126"/>
      <c r="X9" s="126"/>
      <c r="Y9" s="126"/>
      <c r="Z9" s="126"/>
      <c r="AA9" s="126"/>
      <c r="AB9" s="126"/>
      <c r="AC9" s="126"/>
    </row>
    <row r="10" spans="1:29" s="31" customFormat="1" ht="36.75" customHeight="1" x14ac:dyDescent="0.25">
      <c r="A10" s="132" t="s">
        <v>281</v>
      </c>
      <c r="B10" s="128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>
        <f>KEZDŐLAP!$F$26</f>
        <v>17400</v>
      </c>
      <c r="O10" s="127"/>
      <c r="P10" s="39">
        <f t="shared" si="0"/>
        <v>17400</v>
      </c>
      <c r="S10" s="35"/>
    </row>
    <row r="11" spans="1:29" s="31" customFormat="1" ht="36.75" customHeight="1" x14ac:dyDescent="0.25">
      <c r="A11" s="132" t="s">
        <v>282</v>
      </c>
      <c r="B11" s="128"/>
      <c r="C11" s="127"/>
      <c r="D11" s="127"/>
      <c r="E11" s="127"/>
      <c r="F11" s="127"/>
      <c r="G11" s="127"/>
      <c r="H11" s="127"/>
      <c r="I11" s="127"/>
      <c r="J11" s="127"/>
      <c r="K11" s="127"/>
      <c r="L11" s="215" t="s">
        <v>279</v>
      </c>
      <c r="M11" s="216"/>
      <c r="N11" s="216"/>
      <c r="O11" s="217"/>
      <c r="P11" s="39">
        <f t="shared" si="0"/>
        <v>0</v>
      </c>
      <c r="Q11" s="34"/>
    </row>
    <row r="12" spans="1:29" s="31" customFormat="1" ht="36.75" customHeight="1" x14ac:dyDescent="0.25">
      <c r="A12" s="132" t="s">
        <v>283</v>
      </c>
      <c r="B12" s="128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>
        <f>KEZDŐLAP!$F$26</f>
        <v>17400</v>
      </c>
      <c r="N12" s="127"/>
      <c r="O12" s="127"/>
      <c r="P12" s="39">
        <f t="shared" si="0"/>
        <v>17400</v>
      </c>
      <c r="Q12" s="34"/>
    </row>
    <row r="13" spans="1:29" s="31" customFormat="1" ht="36.75" customHeight="1" thickBot="1" x14ac:dyDescent="0.3">
      <c r="A13" s="133" t="s">
        <v>284</v>
      </c>
      <c r="B13" s="134"/>
      <c r="C13" s="135"/>
      <c r="D13" s="135"/>
      <c r="E13" s="135"/>
      <c r="F13" s="135"/>
      <c r="G13" s="135"/>
      <c r="H13" s="135"/>
      <c r="I13" s="135"/>
      <c r="J13" s="135"/>
      <c r="K13" s="135"/>
      <c r="L13" s="135">
        <f>KEZDŐLAP!$F$26</f>
        <v>17400</v>
      </c>
      <c r="M13" s="135"/>
      <c r="N13" s="135"/>
      <c r="O13" s="135"/>
      <c r="P13" s="40">
        <f t="shared" si="0"/>
        <v>17400</v>
      </c>
      <c r="Q13" s="34"/>
    </row>
    <row r="14" spans="1:29" s="34" customFormat="1" ht="30" customHeight="1" x14ac:dyDescent="0.25">
      <c r="A14" s="205" t="str">
        <f>"A vizsgadíjon felül, kiállítandó okmányonként "&amp;KEZDŐLAP!F30&amp;" Ft okmány kiállítási díj befizetése is szükséges."</f>
        <v>A vizsgadíjon felül, kiállítandó okmányonként 6500 Ft okmány kiállítási díj befizetése is szükséges.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05"/>
      <c r="L14" s="205"/>
      <c r="M14" s="205"/>
      <c r="N14" s="205"/>
      <c r="O14" s="205"/>
      <c r="P14" s="205"/>
    </row>
  </sheetData>
  <sheetProtection sheet="1" selectLockedCells="1"/>
  <mergeCells count="7">
    <mergeCell ref="R3:AC5"/>
    <mergeCell ref="A14:P14"/>
    <mergeCell ref="A1:A2"/>
    <mergeCell ref="B2:H2"/>
    <mergeCell ref="P1:P2"/>
    <mergeCell ref="I2:O2"/>
    <mergeCell ref="L11:O11"/>
  </mergeCells>
  <phoneticPr fontId="36" type="noConversion"/>
  <hyperlinks>
    <hyperlink ref="A1" location="KEZDŐLAP!A1" display="X" xr:uid="{00000000-0004-0000-1200-000000000000}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F0"/>
  </sheetPr>
  <dimension ref="A1:R16"/>
  <sheetViews>
    <sheetView workbookViewId="0"/>
  </sheetViews>
  <sheetFormatPr defaultRowHeight="15" x14ac:dyDescent="0.25"/>
  <cols>
    <col min="1" max="1" width="3.42578125" customWidth="1"/>
    <col min="2" max="10" width="14.7109375" customWidth="1"/>
    <col min="11" max="11" width="9" bestFit="1" customWidth="1"/>
    <col min="12" max="12" width="31.7109375" customWidth="1"/>
    <col min="13" max="13" width="3.140625" customWidth="1"/>
    <col min="14" max="17" width="13.42578125" customWidth="1"/>
    <col min="18" max="18" width="1.5703125" style="25" customWidth="1"/>
  </cols>
  <sheetData>
    <row r="1" spans="1:18" x14ac:dyDescent="0.25">
      <c r="A1" s="26" t="s">
        <v>43</v>
      </c>
      <c r="B1" s="147" t="s">
        <v>77</v>
      </c>
      <c r="C1" s="147"/>
      <c r="D1" s="147"/>
      <c r="E1" s="147"/>
      <c r="F1" s="147"/>
      <c r="G1" s="147"/>
      <c r="H1" s="147"/>
      <c r="I1" s="147"/>
      <c r="L1" s="5" t="s">
        <v>1</v>
      </c>
      <c r="N1" s="147" t="s">
        <v>6</v>
      </c>
      <c r="O1" s="147"/>
      <c r="P1" s="147"/>
      <c r="Q1" s="147"/>
    </row>
    <row r="2" spans="1:18" ht="17.25" customHeight="1" x14ac:dyDescent="0.25">
      <c r="B2" s="148" t="s">
        <v>76</v>
      </c>
      <c r="C2" s="148"/>
      <c r="D2" s="148"/>
      <c r="E2" s="148"/>
      <c r="F2" s="148"/>
      <c r="G2" s="148"/>
      <c r="H2" s="148"/>
      <c r="I2" s="148"/>
      <c r="J2" s="148"/>
      <c r="L2" s="223" t="str">
        <f>IF(R3=TRUE,"6 havi géphajón vagy egyéb önálló gépüzemű úszólétesítményen szerzett gépüzemi gyakorlat","Géphajón vagy egyéb önálló gépüzemű úszólétesítményen szerzett legalább 12 havi gépüzemi vagy matróz – gépkezelő gyakorlat")</f>
        <v>Géphajón vagy egyéb önálló gépüzemű úszólétesítményen szerzett legalább 12 havi gépüzemi vagy matróz – gépkezelő gyakorlat</v>
      </c>
      <c r="N2" s="150" t="s">
        <v>66</v>
      </c>
      <c r="O2" s="150"/>
      <c r="P2" s="150"/>
      <c r="Q2" s="150"/>
      <c r="R2" s="64"/>
    </row>
    <row r="3" spans="1:18" ht="15" customHeight="1" x14ac:dyDescent="0.25">
      <c r="B3" s="148"/>
      <c r="C3" s="148"/>
      <c r="D3" s="148"/>
      <c r="E3" s="148"/>
      <c r="F3" s="148"/>
      <c r="G3" s="148"/>
      <c r="H3" s="148"/>
      <c r="I3" s="148"/>
      <c r="J3" s="148"/>
      <c r="L3" s="223"/>
      <c r="N3" s="150" t="s">
        <v>227</v>
      </c>
      <c r="O3" s="150"/>
      <c r="P3" s="150"/>
      <c r="Q3" s="150"/>
      <c r="R3" s="64" t="b">
        <v>0</v>
      </c>
    </row>
    <row r="4" spans="1:18" x14ac:dyDescent="0.25">
      <c r="B4" s="148"/>
      <c r="C4" s="148"/>
      <c r="D4" s="148"/>
      <c r="E4" s="148"/>
      <c r="F4" s="148"/>
      <c r="G4" s="148"/>
      <c r="H4" s="148"/>
      <c r="I4" s="148"/>
      <c r="J4" s="148"/>
      <c r="L4" s="223"/>
      <c r="N4" s="151" t="str">
        <f>IF(OR(R3,R4,R5)=TRUE,"Vizsgadíj és/vagy felmentési díj befizetésének igazolása","Vizsgadíj befizetésének igazolása")</f>
        <v>Vizsgadíj befizetésének igazolása</v>
      </c>
      <c r="O4" s="151"/>
      <c r="P4" s="151"/>
      <c r="Q4" s="151"/>
      <c r="R4" s="64" t="b">
        <v>0</v>
      </c>
    </row>
    <row r="5" spans="1:18" ht="15" customHeight="1" x14ac:dyDescent="0.25">
      <c r="B5" s="148"/>
      <c r="C5" s="148"/>
      <c r="D5" s="148"/>
      <c r="E5" s="148"/>
      <c r="F5" s="148"/>
      <c r="G5" s="148"/>
      <c r="H5" s="148"/>
      <c r="I5" s="148"/>
      <c r="J5" s="148"/>
      <c r="L5" s="223"/>
      <c r="N5" s="150" t="s">
        <v>231</v>
      </c>
      <c r="O5" s="150"/>
      <c r="P5" s="150"/>
      <c r="Q5" s="150" t="b">
        <v>0</v>
      </c>
      <c r="R5" s="64" t="b">
        <v>0</v>
      </c>
    </row>
    <row r="6" spans="1:18" x14ac:dyDescent="0.25">
      <c r="B6" s="148"/>
      <c r="C6" s="148"/>
      <c r="D6" s="148"/>
      <c r="E6" s="148"/>
      <c r="F6" s="148"/>
      <c r="G6" s="148"/>
      <c r="H6" s="148"/>
      <c r="I6" s="148"/>
      <c r="J6" s="148"/>
      <c r="L6" s="223"/>
      <c r="N6" s="150"/>
      <c r="O6" s="150"/>
      <c r="P6" s="150"/>
      <c r="Q6" s="150"/>
      <c r="R6" s="64"/>
    </row>
    <row r="7" spans="1:18" x14ac:dyDescent="0.25">
      <c r="B7" s="148"/>
      <c r="C7" s="148"/>
      <c r="D7" s="148"/>
      <c r="E7" s="148"/>
      <c r="F7" s="148"/>
      <c r="G7" s="148"/>
      <c r="H7" s="148"/>
      <c r="I7" s="148"/>
      <c r="J7" s="148"/>
      <c r="K7" s="9"/>
      <c r="L7" s="223"/>
      <c r="N7" s="150"/>
      <c r="O7" s="150"/>
      <c r="P7" s="150"/>
      <c r="Q7" s="150"/>
      <c r="R7" s="64"/>
    </row>
    <row r="8" spans="1:18" x14ac:dyDescent="0.25">
      <c r="B8" s="148"/>
      <c r="C8" s="148"/>
      <c r="D8" s="148"/>
      <c r="E8" s="148"/>
      <c r="F8" s="148"/>
      <c r="G8" s="148"/>
      <c r="H8" s="148"/>
      <c r="I8" s="148"/>
      <c r="J8" s="148"/>
      <c r="L8" s="223"/>
      <c r="N8" s="150" t="s">
        <v>33</v>
      </c>
      <c r="O8" s="150"/>
      <c r="P8" s="150"/>
      <c r="Q8" s="150" t="b">
        <v>0</v>
      </c>
      <c r="R8" s="64"/>
    </row>
    <row r="9" spans="1:18" ht="32.25" customHeight="1" x14ac:dyDescent="0.25">
      <c r="N9" s="175" t="str">
        <f>IF(OR(R3)=TRUE,"Hajózási vagy gépészeti képesítő bizonyítvány vagy képzési igazolás","Legalább alapfokú iskolai végzettség igazolása")</f>
        <v>Legalább alapfokú iskolai végzettség igazolása</v>
      </c>
      <c r="O9" s="175"/>
      <c r="P9" s="175"/>
      <c r="Q9" s="175"/>
      <c r="R9" s="64"/>
    </row>
    <row r="10" spans="1:18" ht="32.25" customHeight="1" x14ac:dyDescent="0.25">
      <c r="B10" s="220" t="s">
        <v>13</v>
      </c>
      <c r="C10" s="221"/>
      <c r="D10" s="221"/>
      <c r="E10" s="221"/>
      <c r="F10" s="221"/>
      <c r="G10" s="221"/>
      <c r="H10" s="221"/>
      <c r="I10" s="221"/>
      <c r="J10" s="222"/>
      <c r="K10" s="1"/>
      <c r="L10" s="36" t="s">
        <v>107</v>
      </c>
      <c r="N10" s="168" t="str">
        <f>IF(OR(R3,R4,R5)=TRUE,"Felmentési kérelemhez: képesítő okmány, vizsgajegyzőkönyv, leckekönyv vagy tanterv","")</f>
        <v/>
      </c>
      <c r="O10" s="169"/>
      <c r="P10" s="169"/>
      <c r="Q10" s="170"/>
      <c r="R10" s="64"/>
    </row>
    <row r="11" spans="1:18" s="2" customFormat="1" ht="145.5" customHeight="1" x14ac:dyDescent="0.25">
      <c r="B11" s="3" t="s">
        <v>74</v>
      </c>
      <c r="C11" s="3" t="s">
        <v>67</v>
      </c>
      <c r="D11" s="3" t="s">
        <v>68</v>
      </c>
      <c r="E11" s="3" t="s">
        <v>75</v>
      </c>
      <c r="F11" s="3" t="s">
        <v>69</v>
      </c>
      <c r="G11" s="3" t="s">
        <v>70</v>
      </c>
      <c r="H11" s="3" t="s">
        <v>71</v>
      </c>
      <c r="I11" s="3" t="s">
        <v>72</v>
      </c>
      <c r="J11" s="3" t="s">
        <v>73</v>
      </c>
      <c r="K11" s="3" t="s">
        <v>84</v>
      </c>
      <c r="L11" s="10">
        <f>SUM(B13:K13)</f>
        <v>163100</v>
      </c>
      <c r="M11"/>
      <c r="N11" s="159" t="str">
        <f>IF(R3=TRUE,"Hajózási szakképzésben szerzett képesítő bizonyítványként azt a képesítő okmányt lehet elfogadni, amelyet olyan oktatási intézmény adott ki, amelynek tanterve a hajózási hatóság által jóváhagyott szakmai oktatási programot tartalmazza","")</f>
        <v/>
      </c>
      <c r="O11" s="159"/>
      <c r="P11" s="159"/>
      <c r="Q11" s="159"/>
      <c r="R11" s="23"/>
    </row>
    <row r="12" spans="1:18" s="17" customFormat="1" ht="27.75" customHeight="1" x14ac:dyDescent="0.25">
      <c r="B12" s="87" t="str">
        <f>IF(OR($R$3,$R$4,$R$5)=TRUE,"Vizsga/felmentés","Vizsga")</f>
        <v>Vizsga</v>
      </c>
      <c r="C12" s="87" t="str">
        <f t="shared" ref="C12:J12" si="0">IF(OR($R$3,$R$4,$R$5)=TRUE,"Vizsga/felmentés","Vizsga")</f>
        <v>Vizsga</v>
      </c>
      <c r="D12" s="87" t="str">
        <f t="shared" si="0"/>
        <v>Vizsga</v>
      </c>
      <c r="E12" s="87" t="str">
        <f t="shared" si="0"/>
        <v>Vizsga</v>
      </c>
      <c r="F12" s="87" t="str">
        <f t="shared" si="0"/>
        <v>Vizsga</v>
      </c>
      <c r="G12" s="87" t="str">
        <f t="shared" si="0"/>
        <v>Vizsga</v>
      </c>
      <c r="H12" s="87" t="str">
        <f t="shared" si="0"/>
        <v>Vizsga</v>
      </c>
      <c r="I12" s="87" t="str">
        <f t="shared" si="0"/>
        <v>Vizsga</v>
      </c>
      <c r="J12" s="87" t="str">
        <f t="shared" si="0"/>
        <v>Vizsga</v>
      </c>
      <c r="K12" s="59" t="s">
        <v>85</v>
      </c>
      <c r="N12" s="218" t="s">
        <v>232</v>
      </c>
      <c r="O12" s="218"/>
      <c r="P12" s="218"/>
      <c r="Q12" s="218"/>
      <c r="R12" s="108"/>
    </row>
    <row r="13" spans="1:18" s="1" customFormat="1" ht="15" customHeight="1" x14ac:dyDescent="0.25">
      <c r="B13" s="4">
        <f>KEZDŐLAP!$F$26</f>
        <v>17400</v>
      </c>
      <c r="C13" s="4">
        <f>KEZDŐLAP!$F$26</f>
        <v>17400</v>
      </c>
      <c r="D13" s="4">
        <f>KEZDŐLAP!$F$26</f>
        <v>17400</v>
      </c>
      <c r="E13" s="4">
        <f>KEZDŐLAP!$F$26</f>
        <v>17400</v>
      </c>
      <c r="F13" s="4">
        <f>KEZDŐLAP!$F$26</f>
        <v>17400</v>
      </c>
      <c r="G13" s="4">
        <f>KEZDŐLAP!F27</f>
        <v>17400</v>
      </c>
      <c r="H13" s="4">
        <f>KEZDŐLAP!$F$26</f>
        <v>17400</v>
      </c>
      <c r="I13" s="4">
        <f>KEZDŐLAP!$F$26</f>
        <v>17400</v>
      </c>
      <c r="J13" s="4">
        <f>KEZDŐLAP!$F$26</f>
        <v>17400</v>
      </c>
      <c r="K13" s="41">
        <f>KEZDŐLAP!F30</f>
        <v>6500</v>
      </c>
      <c r="M13" s="2"/>
      <c r="N13" s="219"/>
      <c r="O13" s="219"/>
      <c r="P13" s="219"/>
      <c r="Q13" s="219"/>
      <c r="R13" s="104"/>
    </row>
    <row r="14" spans="1:18" ht="15" customHeight="1" x14ac:dyDescent="0.25">
      <c r="G14" s="192" t="s">
        <v>106</v>
      </c>
      <c r="H14" s="199"/>
      <c r="I14" s="193"/>
      <c r="J14" s="33">
        <f>SUM(B13:J13)</f>
        <v>156600</v>
      </c>
      <c r="K14" s="45"/>
      <c r="N14" s="219"/>
      <c r="O14" s="219"/>
      <c r="P14" s="219"/>
      <c r="Q14" s="219"/>
    </row>
    <row r="15" spans="1:18" ht="15" customHeight="1" x14ac:dyDescent="0.25">
      <c r="N15" s="219"/>
      <c r="O15" s="219"/>
      <c r="P15" s="219"/>
      <c r="Q15" s="219"/>
    </row>
    <row r="16" spans="1:18" x14ac:dyDescent="0.25">
      <c r="N16" s="219"/>
      <c r="O16" s="219"/>
      <c r="P16" s="219"/>
      <c r="Q16" s="219"/>
    </row>
  </sheetData>
  <sheetProtection sheet="1" selectLockedCells="1"/>
  <protectedRanges>
    <protectedRange password="EFFA" sqref="N12:Q13 R3:R8 N8:Q9 A9:C11 M3:M8 D9:M9 B1:Q1 J2:R2 B3:K8 N3:Q5 J11 L11:M13 J10:K10 M10 A12:J13" name="Tartomány1"/>
    <protectedRange password="EFFA" sqref="L3:L8" name="Tartomány1_2"/>
    <protectedRange password="EFFA" sqref="N10:Q10" name="Tartomány1_1_1"/>
    <protectedRange password="EFFA" sqref="A1" name="Tartomány1_3"/>
    <protectedRange password="EFFA" sqref="B2:I2" name="Tartomány1_4"/>
    <protectedRange password="EFFA" sqref="K11:K13" name="Tartomány1_1"/>
    <protectedRange password="EFFA" sqref="L10" name="Tartomány1_1_2"/>
  </protectedRanges>
  <mergeCells count="22">
    <mergeCell ref="B1:I1"/>
    <mergeCell ref="N1:Q1"/>
    <mergeCell ref="N3:Q3"/>
    <mergeCell ref="N4:Q4"/>
    <mergeCell ref="N8:Q8"/>
    <mergeCell ref="B6:J6"/>
    <mergeCell ref="B7:J7"/>
    <mergeCell ref="B8:J8"/>
    <mergeCell ref="L2:L8"/>
    <mergeCell ref="N2:Q2"/>
    <mergeCell ref="N5:Q6"/>
    <mergeCell ref="N7:Q7"/>
    <mergeCell ref="B2:J2"/>
    <mergeCell ref="B3:J3"/>
    <mergeCell ref="B4:J4"/>
    <mergeCell ref="B5:J5"/>
    <mergeCell ref="N11:Q11"/>
    <mergeCell ref="N12:Q16"/>
    <mergeCell ref="N9:Q9"/>
    <mergeCell ref="N10:Q10"/>
    <mergeCell ref="G14:I14"/>
    <mergeCell ref="B10:J10"/>
  </mergeCells>
  <conditionalFormatting sqref="B12:J12">
    <cfRule type="containsText" dxfId="63" priority="1" operator="containsText" text="Vizsga">
      <formula>NOT(ISERROR(SEARCH("Vizsga",B12)))</formula>
    </cfRule>
    <cfRule type="containsText" dxfId="62" priority="2" operator="containsText" text="&quot;Vizsga&quot;">
      <formula>NOT(ISERROR(SEARCH("""Vizsga""",B12)))</formula>
    </cfRule>
  </conditionalFormatting>
  <hyperlinks>
    <hyperlink ref="A1" location="KEZDŐLAP!A1" display="X" xr:uid="{00000000-0004-0000-1300-000000000000}"/>
  </hyperlinks>
  <pageMargins left="0.7" right="0.7" top="0.75" bottom="0.75" header="0.3" footer="0.3"/>
  <pageSetup paperSize="9"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69" r:id="rId4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</xdr:row>
                    <xdr:rowOff>0</xdr:rowOff>
                  </from>
                  <to>
                    <xdr:col>7</xdr:col>
                    <xdr:colOff>142875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0" r:id="rId5" name="Check Box 2">
              <controlPr defaultSize="0" autoFill="0" autoLine="0" autoPict="0">
                <anchor moveWithCells="1">
                  <from>
                    <xdr:col>1</xdr:col>
                    <xdr:colOff>9525</xdr:colOff>
                    <xdr:row>3</xdr:row>
                    <xdr:rowOff>123825</xdr:rowOff>
                  </from>
                  <to>
                    <xdr:col>9</xdr:col>
                    <xdr:colOff>790575</xdr:colOff>
                    <xdr:row>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1" r:id="rId6" name="Check Box 3">
              <controlPr defaultSize="0" autoFill="0" autoLine="0" autoPict="0">
                <anchor moveWithCells="1">
                  <from>
                    <xdr:col>1</xdr:col>
                    <xdr:colOff>19050</xdr:colOff>
                    <xdr:row>5</xdr:row>
                    <xdr:rowOff>161925</xdr:rowOff>
                  </from>
                  <to>
                    <xdr:col>8</xdr:col>
                    <xdr:colOff>647700</xdr:colOff>
                    <xdr:row>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F0"/>
  </sheetPr>
  <dimension ref="A1:R15"/>
  <sheetViews>
    <sheetView workbookViewId="0"/>
  </sheetViews>
  <sheetFormatPr defaultRowHeight="15" x14ac:dyDescent="0.25"/>
  <cols>
    <col min="1" max="1" width="3.42578125" customWidth="1"/>
    <col min="2" max="7" width="17.7109375" customWidth="1"/>
    <col min="8" max="10" width="2.7109375" customWidth="1"/>
    <col min="11" max="11" width="3.28515625" customWidth="1"/>
    <col min="12" max="12" width="31.7109375" customWidth="1"/>
    <col min="13" max="13" width="3.140625" customWidth="1"/>
    <col min="14" max="17" width="14.28515625" customWidth="1"/>
    <col min="18" max="18" width="1.5703125" style="24" customWidth="1"/>
  </cols>
  <sheetData>
    <row r="1" spans="1:18" x14ac:dyDescent="0.25">
      <c r="A1" s="26" t="s">
        <v>43</v>
      </c>
      <c r="B1" s="147" t="s">
        <v>78</v>
      </c>
      <c r="C1" s="147"/>
      <c r="D1" s="147"/>
      <c r="E1" s="147"/>
      <c r="F1" s="147"/>
      <c r="G1" s="147"/>
      <c r="H1" s="147"/>
      <c r="I1" s="147"/>
      <c r="L1" s="5" t="s">
        <v>1</v>
      </c>
      <c r="N1" s="147" t="s">
        <v>6</v>
      </c>
      <c r="O1" s="147"/>
      <c r="P1" s="147"/>
      <c r="Q1" s="147"/>
    </row>
    <row r="2" spans="1:18" ht="17.25" customHeight="1" x14ac:dyDescent="0.25">
      <c r="B2" s="148" t="s">
        <v>76</v>
      </c>
      <c r="C2" s="148"/>
      <c r="D2" s="148"/>
      <c r="E2" s="148"/>
      <c r="F2" s="148"/>
      <c r="G2" s="148"/>
      <c r="H2" s="148"/>
      <c r="I2" s="148"/>
      <c r="J2" s="148"/>
      <c r="L2" s="223" t="str">
        <f>IF(R4=TRUE,"",IF(R3=TRUE,"Gépkezelői képesítés birtokában géphajón vagy egyéb önálló gépüzemű úszólétesítményen szerzett 6 havi gépüzemi gyakorlat","Gépkezelői képesítés birtokában géphajón vagy egyéb önálló gépüzemű úszólétesítményen szerzett legalább 12 havi gépüzemi gyakorlat"))</f>
        <v>Gépkezelői képesítés birtokában géphajón vagy egyéb önálló gépüzemű úszólétesítményen szerzett legalább 12 havi gépüzemi gyakorlat</v>
      </c>
      <c r="N2" s="175" t="s">
        <v>66</v>
      </c>
      <c r="O2" s="175"/>
      <c r="P2" s="175"/>
      <c r="Q2" s="175"/>
      <c r="R2" s="65"/>
    </row>
    <row r="3" spans="1:18" ht="15" customHeight="1" x14ac:dyDescent="0.25">
      <c r="B3" s="148"/>
      <c r="C3" s="148"/>
      <c r="D3" s="148"/>
      <c r="E3" s="148"/>
      <c r="F3" s="148"/>
      <c r="G3" s="148"/>
      <c r="H3" s="148"/>
      <c r="I3" s="148"/>
      <c r="J3" s="148"/>
      <c r="L3" s="223"/>
      <c r="N3" s="175" t="str">
        <f>IF(R4=TRUE,"Okmányigénylés","Írásos vizsgajelentkezési/felmentési kérelem")</f>
        <v>Írásos vizsgajelentkezési/felmentési kérelem</v>
      </c>
      <c r="O3" s="175"/>
      <c r="P3" s="175"/>
      <c r="Q3" s="175"/>
      <c r="R3" s="64" t="b">
        <v>0</v>
      </c>
    </row>
    <row r="4" spans="1:18" x14ac:dyDescent="0.25">
      <c r="B4" s="148"/>
      <c r="C4" s="148"/>
      <c r="D4" s="148"/>
      <c r="E4" s="148"/>
      <c r="F4" s="148"/>
      <c r="G4" s="148"/>
      <c r="H4" s="148"/>
      <c r="I4" s="148"/>
      <c r="J4" s="148"/>
      <c r="L4" s="223"/>
      <c r="N4" s="178" t="s">
        <v>110</v>
      </c>
      <c r="O4" s="178"/>
      <c r="P4" s="178"/>
      <c r="Q4" s="178"/>
      <c r="R4" s="64" t="b">
        <v>0</v>
      </c>
    </row>
    <row r="5" spans="1:18" ht="15" customHeight="1" x14ac:dyDescent="0.25">
      <c r="B5" s="148"/>
      <c r="C5" s="148"/>
      <c r="D5" s="148"/>
      <c r="E5" s="148"/>
      <c r="F5" s="148"/>
      <c r="G5" s="148"/>
      <c r="H5" s="148"/>
      <c r="I5" s="148"/>
      <c r="J5" s="148"/>
      <c r="L5" s="223"/>
      <c r="N5" s="175" t="s">
        <v>65</v>
      </c>
      <c r="O5" s="175"/>
      <c r="P5" s="175"/>
      <c r="Q5" s="175"/>
      <c r="R5" s="64" t="b">
        <v>0</v>
      </c>
    </row>
    <row r="6" spans="1:18" x14ac:dyDescent="0.25">
      <c r="B6" s="148"/>
      <c r="C6" s="148"/>
      <c r="D6" s="148"/>
      <c r="E6" s="148"/>
      <c r="F6" s="148"/>
      <c r="G6" s="148"/>
      <c r="H6" s="148"/>
      <c r="I6" s="148"/>
      <c r="J6" s="148"/>
      <c r="L6" s="223"/>
      <c r="N6" s="175"/>
      <c r="O6" s="175"/>
      <c r="P6" s="175"/>
      <c r="Q6" s="175"/>
      <c r="R6" s="64" t="b">
        <v>0</v>
      </c>
    </row>
    <row r="7" spans="1:18" ht="30.75" customHeight="1" x14ac:dyDescent="0.25">
      <c r="B7" s="148"/>
      <c r="C7" s="148"/>
      <c r="D7" s="148"/>
      <c r="E7" s="148"/>
      <c r="F7" s="148"/>
      <c r="G7" s="148"/>
      <c r="H7" s="148"/>
      <c r="I7" s="148"/>
      <c r="J7" s="148"/>
      <c r="K7" s="9"/>
      <c r="L7" s="223"/>
      <c r="N7" s="175" t="str">
        <f>IF(OR(R3,R5,R6=TRUE),"Felmentési kérelemhez: képesítő okmány, vizsgajegyzőkönyv, leckekönyv vagy tanterv","")</f>
        <v/>
      </c>
      <c r="O7" s="175"/>
      <c r="P7" s="175"/>
      <c r="Q7" s="175"/>
      <c r="R7" s="64"/>
    </row>
    <row r="8" spans="1:18" x14ac:dyDescent="0.25">
      <c r="B8" s="148"/>
      <c r="C8" s="148"/>
      <c r="D8" s="148"/>
      <c r="E8" s="148"/>
      <c r="F8" s="148"/>
      <c r="G8" s="148"/>
      <c r="H8" s="148"/>
      <c r="I8" s="148"/>
      <c r="J8" s="148"/>
      <c r="L8" s="223"/>
      <c r="N8" s="175" t="str">
        <f>IF(R4=TRUE,"Tengerész géptiszti képesítés","Gépkezelő képesítés")</f>
        <v>Gépkezelő képesítés</v>
      </c>
      <c r="O8" s="175"/>
      <c r="P8" s="175"/>
      <c r="Q8" s="175"/>
      <c r="R8" s="64"/>
    </row>
    <row r="9" spans="1:18" ht="64.5" customHeight="1" x14ac:dyDescent="0.25">
      <c r="B9" s="67"/>
      <c r="C9" s="67"/>
      <c r="D9" s="67"/>
      <c r="E9" s="67"/>
      <c r="F9" s="67"/>
      <c r="G9" s="67"/>
      <c r="H9" s="67"/>
      <c r="I9" s="67"/>
      <c r="J9" s="67"/>
      <c r="L9" s="68"/>
      <c r="N9" s="168" t="str">
        <f>IF(R3=TRUE,"A hajózási, gépészeti szakképzésben szerzett képesítő bizonyítvány vagy szervezett géptiszti képzés elvégzéséről szóló igazolás bemutatása","")</f>
        <v/>
      </c>
      <c r="O9" s="169"/>
      <c r="P9" s="169"/>
      <c r="Q9" s="170"/>
      <c r="R9" s="64"/>
    </row>
    <row r="10" spans="1:18" ht="21" customHeight="1" x14ac:dyDescent="0.25">
      <c r="N10" s="182" t="str">
        <f>IF(R4=TRUE,"","Igazolás legalább egy nagyjavítás felügyelet mellett történő irányításáról")</f>
        <v>Igazolás legalább egy nagyjavítás felügyelet mellett történő irányításáról</v>
      </c>
      <c r="O10" s="183"/>
      <c r="P10" s="183"/>
      <c r="Q10" s="184"/>
      <c r="R10" s="65"/>
    </row>
    <row r="11" spans="1:18" ht="27.75" customHeight="1" x14ac:dyDescent="0.25">
      <c r="B11" s="158" t="s">
        <v>13</v>
      </c>
      <c r="C11" s="158"/>
      <c r="D11" s="158"/>
      <c r="E11" s="158"/>
      <c r="F11" s="158"/>
      <c r="K11" s="1"/>
      <c r="L11" s="36" t="s">
        <v>113</v>
      </c>
      <c r="N11" s="187"/>
      <c r="O11" s="188"/>
      <c r="P11" s="188"/>
      <c r="Q11" s="189"/>
      <c r="R11" s="65"/>
    </row>
    <row r="12" spans="1:18" s="2" customFormat="1" ht="145.5" customHeight="1" x14ac:dyDescent="0.25">
      <c r="B12" s="3" t="s">
        <v>79</v>
      </c>
      <c r="C12" s="3" t="s">
        <v>81</v>
      </c>
      <c r="D12" s="3" t="s">
        <v>82</v>
      </c>
      <c r="E12" s="3" t="s">
        <v>80</v>
      </c>
      <c r="F12" s="3" t="s">
        <v>83</v>
      </c>
      <c r="G12" s="3" t="s">
        <v>84</v>
      </c>
      <c r="H12"/>
      <c r="I12"/>
      <c r="J12"/>
      <c r="K12" s="37"/>
      <c r="L12" s="10">
        <f>SUM(B14:G14)</f>
        <v>93500</v>
      </c>
      <c r="M12"/>
      <c r="N12" s="218" t="s">
        <v>112</v>
      </c>
      <c r="O12" s="218"/>
      <c r="P12" s="218"/>
      <c r="Q12" s="218"/>
      <c r="R12" s="27"/>
    </row>
    <row r="13" spans="1:18" s="17" customFormat="1" ht="30" customHeight="1" x14ac:dyDescent="0.25">
      <c r="B13" s="87" t="str">
        <f>IF($R$4=TRUE,"-",IF(OR($R$3,$R$6,$R$5)=TRUE,"Vizsga/felmentés","Vizsga"))</f>
        <v>Vizsga</v>
      </c>
      <c r="C13" s="87" t="str">
        <f t="shared" ref="C13:F13" si="0">IF($R$4=TRUE,"-",IF(OR($R$3,$R$6,$R$5)=TRUE,"Vizsga/felmentés","Vizsga"))</f>
        <v>Vizsga</v>
      </c>
      <c r="D13" s="87" t="str">
        <f t="shared" si="0"/>
        <v>Vizsga</v>
      </c>
      <c r="E13" s="87" t="str">
        <f t="shared" si="0"/>
        <v>Vizsga</v>
      </c>
      <c r="F13" s="87" t="str">
        <f t="shared" si="0"/>
        <v>Vizsga</v>
      </c>
      <c r="G13" s="59" t="s">
        <v>85</v>
      </c>
      <c r="H13" s="34"/>
      <c r="I13" s="34"/>
      <c r="J13" s="34"/>
      <c r="K13" s="57"/>
      <c r="N13" s="219"/>
      <c r="O13" s="219"/>
      <c r="P13" s="219"/>
      <c r="Q13" s="219"/>
      <c r="R13" s="60"/>
    </row>
    <row r="14" spans="1:18" s="1" customFormat="1" x14ac:dyDescent="0.25">
      <c r="B14" s="4">
        <f>IF($R$4=TRUE,0,KEZDŐLAP!F26)</f>
        <v>17400</v>
      </c>
      <c r="C14" s="4">
        <f>IF($R$4=TRUE,0,KEZDŐLAP!F27)</f>
        <v>17400</v>
      </c>
      <c r="D14" s="4">
        <f>IF($R$4=TRUE,0,KEZDŐLAP!F26)</f>
        <v>17400</v>
      </c>
      <c r="E14" s="4">
        <f>IF($R$4=TRUE,0,KEZDŐLAP!F26)</f>
        <v>17400</v>
      </c>
      <c r="F14" s="4">
        <f>IF($R$4=TRUE,0,KEZDŐLAP!F26)</f>
        <v>17400</v>
      </c>
      <c r="G14" s="41">
        <f>KEZDŐLAP!F30</f>
        <v>6500</v>
      </c>
      <c r="H14"/>
      <c r="I14"/>
      <c r="J14"/>
      <c r="K14" s="38"/>
      <c r="M14" s="2"/>
      <c r="N14" s="219"/>
      <c r="O14" s="219"/>
      <c r="P14" s="219"/>
      <c r="Q14" s="219"/>
      <c r="R14" s="28"/>
    </row>
    <row r="15" spans="1:18" x14ac:dyDescent="0.25">
      <c r="D15" s="46" t="s">
        <v>88</v>
      </c>
      <c r="E15" s="47"/>
      <c r="F15" s="4">
        <f>SUM(B14:F14)</f>
        <v>87000</v>
      </c>
      <c r="G15" s="45"/>
    </row>
  </sheetData>
  <sheetProtection sheet="1" selectLockedCells="1"/>
  <protectedRanges>
    <protectedRange password="EFFA" sqref="R3:R9 N8:Q10 A10:C12 M3:M9 B1:Q1 J2:R2 B3:K9 N3:Q5 D10:M10 K12:M14 K11 M11 A13:F14" name="Tartomány1"/>
    <protectedRange password="EFFA" sqref="L3:L9" name="Tartomány1_2"/>
    <protectedRange password="EFFA" sqref="N11:Q11" name="Tartomány1_1_1"/>
    <protectedRange password="EFFA" sqref="A1" name="Tartomány1_3"/>
    <protectedRange password="EFFA" sqref="B2:I2" name="Tartomány1_4"/>
    <protectedRange password="EFFA" sqref="G12:G14" name="Tartomány1_1"/>
    <protectedRange password="EFFA" sqref="L11" name="Tartomány1_1_3"/>
    <protectedRange password="EFFA" sqref="N12:Q13" name="Tartomány1_5"/>
  </protectedRanges>
  <mergeCells count="20">
    <mergeCell ref="N12:Q14"/>
    <mergeCell ref="N9:Q9"/>
    <mergeCell ref="N10:Q11"/>
    <mergeCell ref="B11:F11"/>
    <mergeCell ref="B1:I1"/>
    <mergeCell ref="N1:Q1"/>
    <mergeCell ref="B2:J2"/>
    <mergeCell ref="L2:L8"/>
    <mergeCell ref="N2:Q2"/>
    <mergeCell ref="B3:J3"/>
    <mergeCell ref="N3:Q3"/>
    <mergeCell ref="B4:J4"/>
    <mergeCell ref="N4:Q4"/>
    <mergeCell ref="B5:J5"/>
    <mergeCell ref="N5:Q6"/>
    <mergeCell ref="B6:J6"/>
    <mergeCell ref="B7:J7"/>
    <mergeCell ref="N7:Q7"/>
    <mergeCell ref="B8:J8"/>
    <mergeCell ref="N8:Q8"/>
  </mergeCells>
  <conditionalFormatting sqref="B13:F13 H13:K13">
    <cfRule type="containsText" dxfId="61" priority="1" operator="containsText" text="Vizsga">
      <formula>NOT(ISERROR(SEARCH("Vizsga",B13)))</formula>
    </cfRule>
    <cfRule type="containsText" dxfId="60" priority="2" operator="containsText" text="&quot;Vizsga&quot;">
      <formula>NOT(ISERROR(SEARCH("""Vizsga""",B13)))</formula>
    </cfRule>
  </conditionalFormatting>
  <hyperlinks>
    <hyperlink ref="A1" location="KEZDŐLAP!A1" display="X" xr:uid="{00000000-0004-0000-1400-000000000000}"/>
  </hyperlinks>
  <pageMargins left="0.7" right="0.7" top="0.75" bottom="0.75" header="0.3" footer="0.3"/>
  <pageSetup paperSize="9"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4817" r:id="rId4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2</xdr:row>
                    <xdr:rowOff>0</xdr:rowOff>
                  </from>
                  <to>
                    <xdr:col>6</xdr:col>
                    <xdr:colOff>114300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9" r:id="rId5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3</xdr:row>
                    <xdr:rowOff>171450</xdr:rowOff>
                  </from>
                  <to>
                    <xdr:col>6</xdr:col>
                    <xdr:colOff>114300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0" r:id="rId6" name="Check Box 4">
              <controlPr defaultSize="0" autoFill="0" autoLine="0" autoPict="0">
                <anchor moveWithCells="1">
                  <from>
                    <xdr:col>1</xdr:col>
                    <xdr:colOff>0</xdr:colOff>
                    <xdr:row>2</xdr:row>
                    <xdr:rowOff>180975</xdr:rowOff>
                  </from>
                  <to>
                    <xdr:col>6</xdr:col>
                    <xdr:colOff>114300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2" r:id="rId7" name="Check Box 6">
              <controlPr defaultSize="0" autoFill="0" autoLine="0" autoPict="0">
                <anchor moveWithCells="1">
                  <from>
                    <xdr:col>1</xdr:col>
                    <xdr:colOff>0</xdr:colOff>
                    <xdr:row>4</xdr:row>
                    <xdr:rowOff>161925</xdr:rowOff>
                  </from>
                  <to>
                    <xdr:col>9</xdr:col>
                    <xdr:colOff>47625</xdr:colOff>
                    <xdr:row>6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745A2-13B5-448F-9A97-D922C4E06CBA}">
  <sheetPr>
    <tabColor rgb="FF92D050"/>
  </sheetPr>
  <dimension ref="A1:U20"/>
  <sheetViews>
    <sheetView workbookViewId="0"/>
  </sheetViews>
  <sheetFormatPr defaultRowHeight="15" x14ac:dyDescent="0.25"/>
  <cols>
    <col min="1" max="1" width="3.42578125" customWidth="1"/>
    <col min="2" max="13" width="13" customWidth="1"/>
    <col min="14" max="14" width="11.7109375" customWidth="1"/>
    <col min="15" max="15" width="31.7109375" customWidth="1"/>
    <col min="16" max="16" width="3.140625" customWidth="1"/>
    <col min="17" max="20" width="14.28515625" customWidth="1"/>
    <col min="21" max="21" width="1" style="24" customWidth="1"/>
  </cols>
  <sheetData>
    <row r="1" spans="1:21" x14ac:dyDescent="0.25">
      <c r="A1" s="26" t="s">
        <v>43</v>
      </c>
      <c r="B1" s="147" t="s">
        <v>174</v>
      </c>
      <c r="C1" s="147"/>
      <c r="D1" s="147"/>
      <c r="E1" s="147"/>
      <c r="F1" s="147"/>
      <c r="G1" s="147"/>
      <c r="H1" s="147"/>
      <c r="I1" s="147"/>
      <c r="O1" s="5" t="s">
        <v>1</v>
      </c>
      <c r="Q1" s="147" t="s">
        <v>6</v>
      </c>
      <c r="R1" s="147"/>
      <c r="S1" s="147"/>
      <c r="T1" s="147"/>
    </row>
    <row r="2" spans="1:21" ht="17.25" customHeight="1" x14ac:dyDescent="0.25">
      <c r="B2" s="148" t="s">
        <v>76</v>
      </c>
      <c r="C2" s="148"/>
      <c r="D2" s="148"/>
      <c r="E2" s="148"/>
      <c r="F2" s="148"/>
      <c r="G2" s="148"/>
      <c r="H2" s="148"/>
      <c r="I2" s="148"/>
      <c r="J2" s="148"/>
      <c r="K2" s="67"/>
      <c r="L2" s="67"/>
      <c r="M2" s="67"/>
      <c r="O2" s="223" t="str">
        <f>IF(U4=TRUE,"",IF(U3=TRUE,"6 havi géphajón vagy egyéb önálló gépüzemű úszólétesítményen szerzett gépüzemi gyakorlat","Géphajón vagy egyéb önálló gépüzemű úszólétesítményen szerzett legalább 12 havi gépüzemi vagy matróz-gépkezelő gyakorlat."))</f>
        <v>Géphajón vagy egyéb önálló gépüzemű úszólétesítményen szerzett legalább 12 havi gépüzemi vagy matróz-gépkezelő gyakorlat.</v>
      </c>
      <c r="Q2" s="175" t="s">
        <v>66</v>
      </c>
      <c r="R2" s="175"/>
      <c r="S2" s="175"/>
      <c r="T2" s="175"/>
      <c r="U2" s="65"/>
    </row>
    <row r="3" spans="1:21" ht="15" customHeight="1" x14ac:dyDescent="0.25">
      <c r="B3" s="148"/>
      <c r="C3" s="148"/>
      <c r="D3" s="148"/>
      <c r="E3" s="148"/>
      <c r="F3" s="148"/>
      <c r="G3" s="148"/>
      <c r="H3" s="148"/>
      <c r="I3" s="148"/>
      <c r="J3" s="148"/>
      <c r="K3" s="67"/>
      <c r="L3" s="67"/>
      <c r="M3" s="67"/>
      <c r="O3" s="223"/>
      <c r="Q3" s="175" t="str">
        <f>IF($U$4=TRUE,"Írásos kérelem","Írásos vizsgajelentkezési/felmentési kérelem")</f>
        <v>Írásos vizsgajelentkezési/felmentési kérelem</v>
      </c>
      <c r="R3" s="175"/>
      <c r="S3" s="175"/>
      <c r="T3" s="175"/>
      <c r="U3" s="64" t="b">
        <v>0</v>
      </c>
    </row>
    <row r="4" spans="1:21" x14ac:dyDescent="0.25">
      <c r="B4" s="148"/>
      <c r="C4" s="148"/>
      <c r="D4" s="148"/>
      <c r="E4" s="148"/>
      <c r="F4" s="148"/>
      <c r="G4" s="148"/>
      <c r="H4" s="148"/>
      <c r="I4" s="148"/>
      <c r="J4" s="148"/>
      <c r="K4" s="67"/>
      <c r="L4" s="67"/>
      <c r="M4" s="67"/>
      <c r="O4" s="223"/>
      <c r="Q4" s="178" t="s">
        <v>110</v>
      </c>
      <c r="R4" s="178"/>
      <c r="S4" s="178"/>
      <c r="T4" s="178"/>
      <c r="U4" s="64" t="b">
        <v>0</v>
      </c>
    </row>
    <row r="5" spans="1:21" ht="15" customHeight="1" x14ac:dyDescent="0.25">
      <c r="B5" s="148"/>
      <c r="C5" s="148"/>
      <c r="D5" s="148"/>
      <c r="E5" s="148"/>
      <c r="F5" s="148"/>
      <c r="G5" s="148"/>
      <c r="H5" s="148"/>
      <c r="I5" s="148"/>
      <c r="J5" s="148"/>
      <c r="K5" s="67"/>
      <c r="L5" s="67"/>
      <c r="M5" s="67"/>
      <c r="O5" s="223"/>
      <c r="Q5" s="175" t="s">
        <v>65</v>
      </c>
      <c r="R5" s="175"/>
      <c r="S5" s="175"/>
      <c r="T5" s="175"/>
      <c r="U5" s="64" t="b">
        <v>0</v>
      </c>
    </row>
    <row r="6" spans="1:21" x14ac:dyDescent="0.25">
      <c r="B6" s="148"/>
      <c r="C6" s="148"/>
      <c r="D6" s="148"/>
      <c r="E6" s="148"/>
      <c r="F6" s="148"/>
      <c r="G6" s="148"/>
      <c r="H6" s="148"/>
      <c r="I6" s="148"/>
      <c r="J6" s="148"/>
      <c r="K6" s="67"/>
      <c r="L6" s="67"/>
      <c r="M6" s="67"/>
      <c r="O6" s="223"/>
      <c r="Q6" s="175"/>
      <c r="R6" s="175"/>
      <c r="S6" s="175"/>
      <c r="T6" s="175"/>
      <c r="U6" s="64" t="b">
        <v>0</v>
      </c>
    </row>
    <row r="7" spans="1:21" x14ac:dyDescent="0.25">
      <c r="B7" s="148"/>
      <c r="C7" s="148"/>
      <c r="D7" s="148"/>
      <c r="E7" s="148"/>
      <c r="F7" s="148"/>
      <c r="G7" s="148"/>
      <c r="H7" s="148"/>
      <c r="I7" s="148"/>
      <c r="J7" s="148"/>
      <c r="K7" s="67"/>
      <c r="L7" s="67"/>
      <c r="M7" s="67"/>
      <c r="N7" s="9"/>
      <c r="O7" s="223"/>
      <c r="Q7" s="175"/>
      <c r="R7" s="175"/>
      <c r="S7" s="175"/>
      <c r="T7" s="175"/>
      <c r="U7" s="64"/>
    </row>
    <row r="8" spans="1:21" ht="32.25" customHeight="1" x14ac:dyDescent="0.25">
      <c r="B8" s="148"/>
      <c r="C8" s="148"/>
      <c r="D8" s="148"/>
      <c r="E8" s="148"/>
      <c r="F8" s="148"/>
      <c r="G8" s="148"/>
      <c r="H8" s="148"/>
      <c r="I8" s="148"/>
      <c r="J8" s="148"/>
      <c r="K8" s="67"/>
      <c r="L8" s="67"/>
      <c r="M8" s="67"/>
      <c r="O8" s="223"/>
      <c r="Q8" s="175" t="str">
        <f>IF(U4=TRUE,"Érvényes tengerész géptiszti vagy belvízi gépkezelői vagy belvízi géptiszti képesítő bizonyítvány bemutatása",IF(U6=TRUE,"Gépkezelői képesítő bizonyítvány bemutatása",""))</f>
        <v/>
      </c>
      <c r="R8" s="175"/>
      <c r="S8" s="175"/>
      <c r="T8" s="175"/>
      <c r="U8" s="64"/>
    </row>
    <row r="9" spans="1:21" ht="64.5" customHeight="1" x14ac:dyDescent="0.25"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O9" s="68"/>
      <c r="Q9" s="168" t="str">
        <f>IF(U3=TRUE,"Hajózási vagy gépészeti szakképzésben szerzett képesítő bizonyítvány vagy szervezett gépkezelői képzés elvégzésének igazolása","")</f>
        <v/>
      </c>
      <c r="R9" s="169"/>
      <c r="S9" s="169"/>
      <c r="T9" s="170"/>
      <c r="U9" s="64"/>
    </row>
    <row r="10" spans="1:21" ht="21" customHeight="1" x14ac:dyDescent="0.25">
      <c r="Q10" s="182" t="str">
        <f>IF(OR(U3,U5)=TRUE,"Felmentési kérelemhez: képesítő okmány, vizsgajegyzőkönyv, leckekönyv vagy tanterv","")</f>
        <v/>
      </c>
      <c r="R10" s="183"/>
      <c r="S10" s="183"/>
      <c r="T10" s="184"/>
      <c r="U10" s="65"/>
    </row>
    <row r="11" spans="1:21" ht="27.75" customHeight="1" x14ac:dyDescent="0.25">
      <c r="B11" s="227" t="s">
        <v>13</v>
      </c>
      <c r="C11" s="227"/>
      <c r="D11" s="227"/>
      <c r="E11" s="227"/>
      <c r="F11" s="227"/>
      <c r="G11" s="227"/>
      <c r="H11" s="227"/>
      <c r="I11" s="227"/>
      <c r="J11" s="227"/>
      <c r="K11" s="227"/>
      <c r="L11" s="227"/>
      <c r="M11" s="227"/>
      <c r="N11" s="1"/>
      <c r="O11" s="36" t="s">
        <v>211</v>
      </c>
      <c r="Q11" s="187"/>
      <c r="R11" s="188"/>
      <c r="S11" s="188"/>
      <c r="T11" s="189"/>
      <c r="U11" s="65"/>
    </row>
    <row r="12" spans="1:21" s="2" customFormat="1" ht="145.5" customHeight="1" x14ac:dyDescent="0.25">
      <c r="B12" s="3" t="s">
        <v>74</v>
      </c>
      <c r="C12" s="3" t="s">
        <v>67</v>
      </c>
      <c r="D12" s="3" t="s">
        <v>68</v>
      </c>
      <c r="E12" s="3" t="s">
        <v>75</v>
      </c>
      <c r="F12" s="3" t="s">
        <v>69</v>
      </c>
      <c r="G12" s="3" t="s">
        <v>70</v>
      </c>
      <c r="H12" s="3" t="s">
        <v>71</v>
      </c>
      <c r="I12" s="3" t="s">
        <v>72</v>
      </c>
      <c r="J12" s="3" t="s">
        <v>73</v>
      </c>
      <c r="K12" s="3" t="s">
        <v>81</v>
      </c>
      <c r="L12" s="3" t="s">
        <v>82</v>
      </c>
      <c r="M12" s="3" t="s">
        <v>83</v>
      </c>
      <c r="N12" s="3" t="s">
        <v>212</v>
      </c>
      <c r="O12" s="10">
        <f>SUM(B14:N14)</f>
        <v>217500</v>
      </c>
      <c r="P12"/>
      <c r="Q12" s="218" t="s">
        <v>175</v>
      </c>
      <c r="R12" s="218"/>
      <c r="S12" s="218"/>
      <c r="T12" s="218"/>
      <c r="U12" s="27"/>
    </row>
    <row r="13" spans="1:21" s="17" customFormat="1" ht="30" customHeight="1" x14ac:dyDescent="0.25">
      <c r="B13" s="87" t="str">
        <f>IF(B14=0,"felmentés",IF(OR($U$3,$U$5)=TRUE,"Vizsga/felmentés","Vizsga"))</f>
        <v>Vizsga</v>
      </c>
      <c r="C13" s="87" t="str">
        <f t="shared" ref="C13:M13" si="0">IF(C14=0,"felmentés",IF(OR($U$3,$U$5)=TRUE,"Vizsga/felmentés","Vizsga"))</f>
        <v>Vizsga</v>
      </c>
      <c r="D13" s="87" t="str">
        <f t="shared" si="0"/>
        <v>Vizsga</v>
      </c>
      <c r="E13" s="87" t="str">
        <f t="shared" si="0"/>
        <v>Vizsga</v>
      </c>
      <c r="F13" s="87" t="str">
        <f t="shared" si="0"/>
        <v>Vizsga</v>
      </c>
      <c r="G13" s="87" t="str">
        <f t="shared" si="0"/>
        <v>Vizsga</v>
      </c>
      <c r="H13" s="87" t="str">
        <f t="shared" si="0"/>
        <v>Vizsga</v>
      </c>
      <c r="I13" s="87" t="str">
        <f t="shared" si="0"/>
        <v>Vizsga</v>
      </c>
      <c r="J13" s="87" t="str">
        <f t="shared" si="0"/>
        <v>Vizsga</v>
      </c>
      <c r="K13" s="87" t="str">
        <f t="shared" si="0"/>
        <v>Vizsga</v>
      </c>
      <c r="L13" s="87" t="str">
        <f t="shared" si="0"/>
        <v>Vizsga</v>
      </c>
      <c r="M13" s="87" t="str">
        <f t="shared" si="0"/>
        <v>Vizsga</v>
      </c>
      <c r="N13" s="99" t="s">
        <v>85</v>
      </c>
      <c r="Q13" s="219"/>
      <c r="R13" s="219"/>
      <c r="S13" s="219"/>
      <c r="T13" s="219"/>
      <c r="U13" s="60"/>
    </row>
    <row r="14" spans="1:21" s="1" customFormat="1" ht="15" customHeight="1" x14ac:dyDescent="0.25">
      <c r="B14" s="4">
        <f>IF(OR($U$6,$U$4)=TRUE,0,KEZDŐLAP!F26)</f>
        <v>17400</v>
      </c>
      <c r="C14" s="4">
        <f>IF(OR($U$6,$U$4)=TRUE,0,KEZDŐLAP!F26)</f>
        <v>17400</v>
      </c>
      <c r="D14" s="4">
        <f>IF(OR($U$6,$U$4)=TRUE,0,KEZDŐLAP!F26)</f>
        <v>17400</v>
      </c>
      <c r="E14" s="4">
        <f>IF(OR($U$6,$U$4)=TRUE,0,KEZDŐLAP!F26)</f>
        <v>17400</v>
      </c>
      <c r="F14" s="4">
        <f>IF(OR($U$6,$U$4)=TRUE,0,KEZDŐLAP!F26)</f>
        <v>17400</v>
      </c>
      <c r="G14" s="4">
        <f>IF(OR($U$6,$U$4)=TRUE,0,KEZDŐLAP!F27)</f>
        <v>17400</v>
      </c>
      <c r="H14" s="4">
        <f>IF(OR($U$6,$U$4)=TRUE,0,KEZDŐLAP!F26)</f>
        <v>17400</v>
      </c>
      <c r="I14" s="4">
        <f>IF(OR($U$6,$U$4)=TRUE,0,KEZDŐLAP!F26)</f>
        <v>17400</v>
      </c>
      <c r="J14" s="4">
        <f>IF(OR($U$6,$U$4)=TRUE,0,KEZDŐLAP!F26)</f>
        <v>17400</v>
      </c>
      <c r="K14" s="4">
        <f>IF($U$4=TRUE,0,KEZDŐLAP!F27)</f>
        <v>17400</v>
      </c>
      <c r="L14" s="4">
        <f>IF($U$4=TRUE,0,KEZDŐLAP!F26)</f>
        <v>17400</v>
      </c>
      <c r="M14" s="4">
        <f>IF($U$4=TRUE,0,KEZDŐLAP!F26)</f>
        <v>17400</v>
      </c>
      <c r="N14" s="41">
        <f>KEZDŐLAP!F32</f>
        <v>8700</v>
      </c>
      <c r="P14" s="2"/>
      <c r="Q14" s="219"/>
      <c r="R14" s="219"/>
      <c r="S14" s="219"/>
      <c r="T14" s="219"/>
      <c r="U14" s="28"/>
    </row>
    <row r="15" spans="1:21" x14ac:dyDescent="0.25">
      <c r="G15" s="192" t="s">
        <v>106</v>
      </c>
      <c r="H15" s="199"/>
      <c r="I15" s="193"/>
      <c r="J15" s="224">
        <f>SUM(B14:M14)</f>
        <v>208800</v>
      </c>
      <c r="K15" s="225"/>
      <c r="L15" s="225"/>
      <c r="M15" s="225"/>
      <c r="N15" s="226"/>
      <c r="Q15" s="219"/>
      <c r="R15" s="219"/>
      <c r="S15" s="219"/>
      <c r="T15" s="219"/>
    </row>
    <row r="16" spans="1:21" x14ac:dyDescent="0.25">
      <c r="Q16" s="219"/>
      <c r="R16" s="219"/>
      <c r="S16" s="219"/>
      <c r="T16" s="219"/>
    </row>
    <row r="19" ht="116.25" customHeight="1" x14ac:dyDescent="0.25"/>
    <row r="20" ht="24.75" customHeight="1" x14ac:dyDescent="0.25"/>
  </sheetData>
  <sheetProtection sheet="1" selectLockedCells="1"/>
  <protectedRanges>
    <protectedRange password="EFFA" sqref="Q11:T11" name="Tartomány1_1_1"/>
    <protectedRange password="EFFA" sqref="A1" name="Tartomány1_3"/>
    <protectedRange password="EFFA" sqref="B2:I2" name="Tartomány1_4"/>
    <protectedRange password="EFFA" sqref="O11" name="Tartomány1_1_3"/>
    <protectedRange password="EFFA" sqref="B11:C12 J12 J11:N11 B13:M13" name="Tartomány1"/>
    <protectedRange password="EFFA" sqref="N12:N14" name="Tartomány1_1"/>
    <protectedRange password="EFFA" sqref="Q12:T13" name="Tartomány1_5"/>
  </protectedRanges>
  <mergeCells count="22">
    <mergeCell ref="Q9:T9"/>
    <mergeCell ref="Q10:T11"/>
    <mergeCell ref="G15:I15"/>
    <mergeCell ref="J15:N15"/>
    <mergeCell ref="B11:M11"/>
    <mergeCell ref="Q12:T16"/>
    <mergeCell ref="B1:I1"/>
    <mergeCell ref="Q1:T1"/>
    <mergeCell ref="B2:J2"/>
    <mergeCell ref="O2:O8"/>
    <mergeCell ref="Q2:T2"/>
    <mergeCell ref="B3:J3"/>
    <mergeCell ref="Q3:T3"/>
    <mergeCell ref="B4:J4"/>
    <mergeCell ref="Q4:T4"/>
    <mergeCell ref="B5:J5"/>
    <mergeCell ref="Q5:T6"/>
    <mergeCell ref="B6:J6"/>
    <mergeCell ref="B7:J7"/>
    <mergeCell ref="Q7:T7"/>
    <mergeCell ref="B8:J8"/>
    <mergeCell ref="Q8:T8"/>
  </mergeCells>
  <conditionalFormatting sqref="B13:M13">
    <cfRule type="containsText" dxfId="59" priority="7" operator="containsText" text="Vizsga">
      <formula>NOT(ISERROR(SEARCH("Vizsga",B13)))</formula>
    </cfRule>
    <cfRule type="containsText" dxfId="58" priority="8" operator="containsText" text="&quot;Vizsga&quot;">
      <formula>NOT(ISERROR(SEARCH("""Vizsga""",B13)))</formula>
    </cfRule>
  </conditionalFormatting>
  <hyperlinks>
    <hyperlink ref="A1" location="KEZDŐLAP!A1" display="X" xr:uid="{84B08916-8BCF-4CCF-BECE-4B950CB16187}"/>
  </hyperlinks>
  <pageMargins left="0.7" right="0.7" top="0.75" bottom="0.75" header="0.3" footer="0.3"/>
  <pageSetup paperSize="9"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1137" r:id="rId4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</xdr:row>
                    <xdr:rowOff>0</xdr:rowOff>
                  </from>
                  <to>
                    <xdr:col>8</xdr:col>
                    <xdr:colOff>542925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1138" r:id="rId5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</xdr:row>
                    <xdr:rowOff>180975</xdr:rowOff>
                  </from>
                  <to>
                    <xdr:col>7</xdr:col>
                    <xdr:colOff>819150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1139" r:id="rId6" name="Check Box 3">
              <controlPr defaultSize="0" autoFill="0" autoLine="0" autoPict="0">
                <anchor moveWithCells="1">
                  <from>
                    <xdr:col>1</xdr:col>
                    <xdr:colOff>9525</xdr:colOff>
                    <xdr:row>3</xdr:row>
                    <xdr:rowOff>0</xdr:rowOff>
                  </from>
                  <to>
                    <xdr:col>7</xdr:col>
                    <xdr:colOff>828675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1140" r:id="rId7" name="Check Box 4">
              <controlPr defaultSize="0" autoFill="0" autoLine="0" autoPict="0">
                <anchor moveWithCells="1">
                  <from>
                    <xdr:col>1</xdr:col>
                    <xdr:colOff>0</xdr:colOff>
                    <xdr:row>4</xdr:row>
                    <xdr:rowOff>180975</xdr:rowOff>
                  </from>
                  <to>
                    <xdr:col>7</xdr:col>
                    <xdr:colOff>819150</xdr:colOff>
                    <xdr:row>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9B70C-5983-4BCD-9619-ACABCFDE7B22}">
  <sheetPr>
    <tabColor rgb="FFFFC000"/>
  </sheetPr>
  <dimension ref="A1:Q24"/>
  <sheetViews>
    <sheetView workbookViewId="0"/>
  </sheetViews>
  <sheetFormatPr defaultRowHeight="15" x14ac:dyDescent="0.25"/>
  <cols>
    <col min="1" max="1" width="3.42578125" customWidth="1"/>
    <col min="2" max="7" width="7.85546875" customWidth="1"/>
    <col min="8" max="9" width="10.140625" customWidth="1"/>
    <col min="10" max="10" width="3.5703125" customWidth="1"/>
    <col min="11" max="11" width="27.42578125" customWidth="1"/>
    <col min="12" max="12" width="3.140625" customWidth="1"/>
    <col min="13" max="16" width="17.5703125" customWidth="1"/>
    <col min="17" max="17" width="1.140625" customWidth="1"/>
  </cols>
  <sheetData>
    <row r="1" spans="1:17" x14ac:dyDescent="0.25">
      <c r="A1" s="26" t="s">
        <v>43</v>
      </c>
      <c r="B1" s="147" t="s">
        <v>141</v>
      </c>
      <c r="C1" s="147"/>
      <c r="D1" s="147"/>
      <c r="E1" s="147"/>
      <c r="F1" s="147"/>
      <c r="G1" s="147"/>
      <c r="H1" s="147"/>
      <c r="I1" s="147"/>
      <c r="K1" s="5" t="s">
        <v>1</v>
      </c>
      <c r="M1" s="147" t="s">
        <v>143</v>
      </c>
      <c r="N1" s="147"/>
      <c r="O1" s="147"/>
      <c r="P1" s="147"/>
    </row>
    <row r="2" spans="1:17" ht="17.25" customHeight="1" x14ac:dyDescent="0.25">
      <c r="B2" s="196"/>
      <c r="C2" s="196"/>
      <c r="D2" s="196"/>
      <c r="E2" s="196"/>
      <c r="F2" s="196"/>
      <c r="G2" s="196"/>
      <c r="H2" s="196"/>
      <c r="I2" s="196"/>
      <c r="K2" s="1"/>
      <c r="Q2" s="24"/>
    </row>
    <row r="3" spans="1:17" ht="17.25" customHeight="1" x14ac:dyDescent="0.25">
      <c r="B3" s="8"/>
      <c r="C3" s="8"/>
      <c r="D3" s="8"/>
      <c r="E3" s="8"/>
      <c r="F3" s="8"/>
      <c r="G3" s="8"/>
      <c r="H3" s="8"/>
      <c r="I3" s="8"/>
      <c r="K3" s="228" t="s">
        <v>147</v>
      </c>
      <c r="M3" s="175"/>
      <c r="N3" s="175"/>
      <c r="O3" s="175"/>
      <c r="P3" s="175"/>
      <c r="Q3" s="64"/>
    </row>
    <row r="4" spans="1:17" ht="17.25" customHeight="1" x14ac:dyDescent="0.25">
      <c r="B4" s="8"/>
      <c r="C4" s="8"/>
      <c r="D4" s="8"/>
      <c r="E4" s="8"/>
      <c r="F4" s="8"/>
      <c r="G4" s="8"/>
      <c r="H4" s="8"/>
      <c r="I4" s="8"/>
      <c r="K4" s="228"/>
      <c r="M4" s="178" t="str">
        <f>IF(Q4=TRUE,"Képesítés bejegyzési kérelem","HSZK kiállítására vonatkozó kérelem")</f>
        <v>HSZK kiállítására vonatkozó kérelem</v>
      </c>
      <c r="N4" s="178"/>
      <c r="O4" s="178"/>
      <c r="P4" s="178"/>
      <c r="Q4" s="64" t="b">
        <v>0</v>
      </c>
    </row>
    <row r="5" spans="1:17" ht="17.25" customHeight="1" x14ac:dyDescent="0.25">
      <c r="B5" s="8"/>
      <c r="C5" s="8"/>
      <c r="D5" s="8"/>
      <c r="E5" s="8"/>
      <c r="F5" s="8"/>
      <c r="G5" s="8"/>
      <c r="H5" s="8"/>
      <c r="I5" s="8"/>
      <c r="K5" s="228"/>
      <c r="M5" s="178" t="s">
        <v>129</v>
      </c>
      <c r="N5" s="178"/>
      <c r="O5" s="178"/>
      <c r="P5" s="178"/>
      <c r="Q5" s="64"/>
    </row>
    <row r="6" spans="1:17" ht="17.25" customHeight="1" x14ac:dyDescent="0.25">
      <c r="B6" s="8"/>
      <c r="C6" s="8"/>
      <c r="D6" s="8"/>
      <c r="E6" s="8"/>
      <c r="F6" s="8"/>
      <c r="G6" s="8"/>
      <c r="H6" s="8"/>
      <c r="I6" s="8"/>
      <c r="K6" s="228"/>
      <c r="M6" s="175" t="s">
        <v>131</v>
      </c>
      <c r="N6" s="175"/>
      <c r="O6" s="175"/>
      <c r="P6" s="175"/>
      <c r="Q6" s="64"/>
    </row>
    <row r="7" spans="1:17" ht="17.25" customHeight="1" x14ac:dyDescent="0.25">
      <c r="B7" s="8"/>
      <c r="C7" s="8"/>
      <c r="D7" s="8"/>
      <c r="E7" s="8"/>
      <c r="F7" s="8"/>
      <c r="G7" s="8"/>
      <c r="H7" s="8"/>
      <c r="I7" s="8"/>
      <c r="K7" s="228"/>
      <c r="M7" s="175"/>
      <c r="N7" s="175"/>
      <c r="O7" s="175"/>
      <c r="P7" s="175"/>
      <c r="Q7" s="64"/>
    </row>
    <row r="8" spans="1:17" ht="7.5" customHeight="1" x14ac:dyDescent="0.25">
      <c r="B8" s="8"/>
      <c r="C8" s="8"/>
      <c r="D8" s="8"/>
      <c r="E8" s="8"/>
      <c r="F8" s="8"/>
      <c r="G8" s="8"/>
      <c r="H8" s="8"/>
      <c r="I8" s="8"/>
      <c r="K8" s="228"/>
      <c r="M8" s="175" t="s">
        <v>144</v>
      </c>
      <c r="N8" s="175"/>
      <c r="O8" s="175"/>
      <c r="P8" s="175"/>
      <c r="Q8" s="64"/>
    </row>
    <row r="9" spans="1:17" ht="7.5" customHeight="1" x14ac:dyDescent="0.25">
      <c r="B9" s="8"/>
      <c r="C9" s="8"/>
      <c r="D9" s="8"/>
      <c r="E9" s="8"/>
      <c r="F9" s="8"/>
      <c r="G9" s="8"/>
      <c r="H9" s="8"/>
      <c r="I9" s="8"/>
      <c r="K9" s="229"/>
      <c r="M9" s="175"/>
      <c r="N9" s="175"/>
      <c r="O9" s="175"/>
      <c r="P9" s="175"/>
      <c r="Q9" s="64"/>
    </row>
    <row r="10" spans="1:17" ht="7.5" customHeight="1" x14ac:dyDescent="0.25">
      <c r="B10" s="8"/>
      <c r="C10" s="8"/>
      <c r="D10" s="8"/>
      <c r="E10" s="8"/>
      <c r="F10" s="8"/>
      <c r="G10" s="8"/>
      <c r="H10" s="8"/>
      <c r="I10" s="8"/>
      <c r="J10" s="9"/>
      <c r="K10" s="229"/>
      <c r="M10" s="175"/>
      <c r="N10" s="175"/>
      <c r="O10" s="175"/>
      <c r="P10" s="175"/>
      <c r="Q10" s="64"/>
    </row>
    <row r="11" spans="1:17" ht="7.5" customHeight="1" x14ac:dyDescent="0.25">
      <c r="B11" s="8"/>
      <c r="C11" s="8"/>
      <c r="D11" s="8"/>
      <c r="E11" s="8"/>
      <c r="F11" s="8"/>
      <c r="G11" s="8"/>
      <c r="H11" s="8"/>
      <c r="I11" s="8"/>
      <c r="K11" s="229"/>
      <c r="M11" s="175"/>
      <c r="N11" s="175"/>
      <c r="O11" s="175"/>
      <c r="P11" s="175"/>
      <c r="Q11" s="64"/>
    </row>
    <row r="12" spans="1:17" ht="17.25" customHeight="1" x14ac:dyDescent="0.25">
      <c r="B12" s="8"/>
      <c r="C12" s="8"/>
      <c r="D12" s="8"/>
      <c r="E12" s="8"/>
      <c r="F12" s="8"/>
      <c r="G12" s="8"/>
      <c r="H12" s="8"/>
      <c r="I12" s="8"/>
      <c r="K12" s="229"/>
      <c r="M12" s="178" t="s">
        <v>142</v>
      </c>
      <c r="N12" s="178"/>
      <c r="O12" s="178"/>
      <c r="P12" s="178"/>
      <c r="Q12" s="64"/>
    </row>
    <row r="13" spans="1:17" ht="17.25" customHeight="1" x14ac:dyDescent="0.25">
      <c r="B13" s="8"/>
      <c r="C13" s="8"/>
      <c r="D13" s="8"/>
      <c r="E13" s="8"/>
      <c r="F13" s="8"/>
      <c r="G13" s="8"/>
      <c r="H13" s="8"/>
      <c r="I13" s="8"/>
      <c r="K13" s="229"/>
      <c r="M13" s="175" t="s">
        <v>110</v>
      </c>
      <c r="N13" s="175"/>
      <c r="O13" s="175"/>
      <c r="P13" s="175"/>
      <c r="Q13" s="64"/>
    </row>
    <row r="14" spans="1:17" ht="8.25" customHeight="1" x14ac:dyDescent="0.25">
      <c r="K14" s="71"/>
      <c r="M14" s="196"/>
      <c r="N14" s="196"/>
      <c r="O14" s="196"/>
      <c r="P14" s="196"/>
    </row>
    <row r="15" spans="1:17" x14ac:dyDescent="0.25">
      <c r="K15" s="1" t="s">
        <v>119</v>
      </c>
      <c r="M15" s="196"/>
      <c r="N15" s="196"/>
      <c r="O15" s="196"/>
      <c r="P15" s="196"/>
    </row>
    <row r="16" spans="1:17" s="2" customFormat="1" ht="42.75" customHeight="1" x14ac:dyDescent="0.25">
      <c r="B16"/>
      <c r="C16"/>
      <c r="D16"/>
      <c r="E16" s="37"/>
      <c r="F16" s="37"/>
      <c r="G16" s="37"/>
      <c r="H16" s="6" t="s">
        <v>145</v>
      </c>
      <c r="I16" s="58" t="s">
        <v>146</v>
      </c>
      <c r="K16" s="43">
        <f>SUM(H17:I17)</f>
        <v>26100</v>
      </c>
      <c r="M16" s="72"/>
      <c r="N16" s="72"/>
      <c r="O16" s="72"/>
      <c r="P16" s="72"/>
    </row>
    <row r="17" spans="2:16" s="2" customFormat="1" ht="15.75" customHeight="1" x14ac:dyDescent="0.25">
      <c r="B17"/>
      <c r="C17"/>
      <c r="D17"/>
      <c r="E17" s="36"/>
      <c r="F17" s="36"/>
      <c r="G17" s="36"/>
      <c r="H17" s="73">
        <f>IF(Q4=TRUE,0,KEZDŐLAP!F33)</f>
        <v>17400</v>
      </c>
      <c r="I17" s="73">
        <f>KEZDŐLAP!F32</f>
        <v>8700</v>
      </c>
      <c r="K17" s="17"/>
      <c r="L17" s="17"/>
      <c r="M17" s="72"/>
      <c r="N17" s="72"/>
      <c r="O17" s="72"/>
      <c r="P17" s="72"/>
    </row>
    <row r="18" spans="2:16" s="1" customFormat="1" x14ac:dyDescent="0.25">
      <c r="B18"/>
      <c r="C18"/>
      <c r="D18"/>
      <c r="E18" s="70"/>
      <c r="F18" s="70"/>
      <c r="G18" s="70"/>
      <c r="J18" s="2"/>
      <c r="K18" s="17"/>
      <c r="L18" s="17"/>
      <c r="M18" s="72"/>
      <c r="N18" s="72"/>
      <c r="O18" s="72"/>
      <c r="P18" s="72"/>
    </row>
    <row r="19" spans="2:16" x14ac:dyDescent="0.25">
      <c r="E19" s="19"/>
      <c r="K19" s="17"/>
      <c r="L19" s="17"/>
      <c r="M19" s="72"/>
      <c r="N19" s="72"/>
      <c r="O19" s="72"/>
      <c r="P19" s="72"/>
    </row>
    <row r="20" spans="2:16" x14ac:dyDescent="0.25">
      <c r="L20" s="17"/>
      <c r="M20" s="72"/>
      <c r="N20" s="72"/>
      <c r="O20" s="72"/>
      <c r="P20" s="72"/>
    </row>
    <row r="21" spans="2:16" x14ac:dyDescent="0.25">
      <c r="L21" s="17"/>
      <c r="M21" s="17"/>
      <c r="N21" s="17"/>
      <c r="O21" s="17"/>
      <c r="P21" s="17"/>
    </row>
    <row r="22" spans="2:16" x14ac:dyDescent="0.25">
      <c r="L22" s="17"/>
      <c r="M22" s="17"/>
      <c r="N22" s="17"/>
      <c r="O22" s="17"/>
      <c r="P22" s="17"/>
    </row>
    <row r="23" spans="2:16" x14ac:dyDescent="0.25">
      <c r="L23" s="17"/>
      <c r="M23" s="17"/>
      <c r="N23" s="17"/>
      <c r="O23" s="17"/>
      <c r="P23" s="17"/>
    </row>
    <row r="24" spans="2:16" x14ac:dyDescent="0.25">
      <c r="L24" s="17"/>
      <c r="M24" s="17"/>
      <c r="N24" s="17"/>
      <c r="O24" s="17"/>
      <c r="P24" s="17"/>
    </row>
  </sheetData>
  <sheetProtection sheet="1" selectLockedCells="1"/>
  <protectedRanges>
    <protectedRange password="EFFA" sqref="L3:P4 Q3:Q13 E16:G18 B1:P1 J2:Q2 A14:A18 I17:J18 N6:P10 M6 M12:P14 M8:M10 L5:L14 B3:J14 M15:O15 K16 E15:I15" name="Tartomány1"/>
    <protectedRange password="EFFA" sqref="K3:K14" name="Tartomány1_2"/>
    <protectedRange password="EFFA" sqref="M5:P5" name="Tartomány1_1"/>
    <protectedRange password="EFFA" sqref="A1" name="Tartomány1_3"/>
    <protectedRange password="EFFA" sqref="K15" name="Tartomány1_6"/>
    <protectedRange password="EFFA" sqref="K18:N18 K17:L17" name="Tartomány1_2_1"/>
    <protectedRange password="EFFA" sqref="B2:I2" name="Tartomány1_7"/>
    <protectedRange password="EFFA" sqref="M16:N17" name="Tartomány1_2_1_1"/>
  </protectedRanges>
  <mergeCells count="14">
    <mergeCell ref="M12:P12"/>
    <mergeCell ref="M13:P13"/>
    <mergeCell ref="M14:P14"/>
    <mergeCell ref="M15:P15"/>
    <mergeCell ref="B1:I1"/>
    <mergeCell ref="M1:P1"/>
    <mergeCell ref="B2:I2"/>
    <mergeCell ref="K3:K8"/>
    <mergeCell ref="M3:P3"/>
    <mergeCell ref="M4:P4"/>
    <mergeCell ref="M5:P5"/>
    <mergeCell ref="M6:P7"/>
    <mergeCell ref="M8:P11"/>
    <mergeCell ref="K9:K13"/>
  </mergeCells>
  <conditionalFormatting sqref="E17:G17">
    <cfRule type="containsText" dxfId="57" priority="1" operator="containsText" text="Vizsga">
      <formula>NOT(ISERROR(SEARCH("Vizsga",E17)))</formula>
    </cfRule>
    <cfRule type="containsText" dxfId="56" priority="2" operator="containsText" text="&quot;Vizsga&quot;">
      <formula>NOT(ISERROR(SEARCH("""Vizsga""",E17)))</formula>
    </cfRule>
  </conditionalFormatting>
  <hyperlinks>
    <hyperlink ref="A1" location="KEZDŐLAP!A1" display="X" xr:uid="{FF04558B-B02F-4B53-BD39-33CD0764E3BE}"/>
  </hyperlinks>
  <pageMargins left="0.7" right="0.7" top="0.75" bottom="0.75" header="0.3" footer="0.3"/>
  <pageSetup paperSize="9"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666" r:id="rId4" name="Check Box 2">
              <controlPr defaultSize="0" autoFill="0" autoLine="0" autoPict="0">
                <anchor moveWithCells="1">
                  <from>
                    <xdr:col>1</xdr:col>
                    <xdr:colOff>304800</xdr:colOff>
                    <xdr:row>2</xdr:row>
                    <xdr:rowOff>38100</xdr:rowOff>
                  </from>
                  <to>
                    <xdr:col>10</xdr:col>
                    <xdr:colOff>933450</xdr:colOff>
                    <xdr:row>4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P22"/>
  <sheetViews>
    <sheetView workbookViewId="0">
      <selection activeCell="P8" sqref="P8"/>
    </sheetView>
  </sheetViews>
  <sheetFormatPr defaultRowHeight="15" x14ac:dyDescent="0.25"/>
  <cols>
    <col min="1" max="1" width="3.42578125" customWidth="1"/>
    <col min="2" max="6" width="17.5703125" customWidth="1"/>
    <col min="7" max="8" width="14.5703125" customWidth="1"/>
    <col min="9" max="9" width="10.140625" customWidth="1"/>
    <col min="10" max="10" width="26.140625" customWidth="1"/>
    <col min="11" max="11" width="1.85546875" customWidth="1"/>
    <col min="12" max="15" width="16.140625" customWidth="1"/>
    <col min="16" max="16" width="1.5703125" style="51" customWidth="1"/>
  </cols>
  <sheetData>
    <row r="1" spans="1:16" x14ac:dyDescent="0.25">
      <c r="A1" s="26" t="s">
        <v>43</v>
      </c>
      <c r="B1" s="147" t="s">
        <v>102</v>
      </c>
      <c r="C1" s="147"/>
      <c r="D1" s="147"/>
      <c r="E1" s="147"/>
      <c r="F1" s="147"/>
      <c r="G1" s="147"/>
      <c r="H1" s="147"/>
      <c r="J1" s="5" t="s">
        <v>1</v>
      </c>
      <c r="L1" s="147" t="str">
        <f>IF(L3="Írásos vizsgajelentkezési kérelem az eHivatal rendszeren keresztül","Egyéb vizsgajelentkezési feltételek","Okmánykiállítási feltételek")</f>
        <v>Egyéb vizsgajelentkezési feltételek</v>
      </c>
      <c r="M1" s="147"/>
      <c r="N1" s="147"/>
      <c r="O1" s="147"/>
    </row>
    <row r="2" spans="1:16" ht="15.75" customHeight="1" x14ac:dyDescent="0.25">
      <c r="B2" s="148" t="s">
        <v>100</v>
      </c>
      <c r="C2" s="148"/>
      <c r="D2" s="148"/>
      <c r="E2" s="148"/>
      <c r="F2" s="148"/>
      <c r="G2" s="148"/>
      <c r="H2" s="148"/>
      <c r="J2" s="1"/>
      <c r="P2" s="52"/>
    </row>
    <row r="3" spans="1:16" ht="15" customHeight="1" x14ac:dyDescent="0.25">
      <c r="B3" s="8"/>
      <c r="C3" s="8"/>
      <c r="D3" s="8"/>
      <c r="E3" s="8"/>
      <c r="F3" s="8"/>
      <c r="G3" s="8"/>
      <c r="H3" s="8"/>
      <c r="J3" s="149" t="s">
        <v>94</v>
      </c>
      <c r="L3" s="150" t="str">
        <f>IF(AND(G22&gt;0,I21&gt;0),"Írásos vizsgajelentkezési kérelem az eHivatal rendszeren keresztül",IF(I21&gt;0,"Okmányigénylés és fotó benyújtása",""))</f>
        <v>Írásos vizsgajelentkezési kérelem az eHivatal rendszeren keresztül</v>
      </c>
      <c r="M3" s="150"/>
      <c r="N3" s="150"/>
      <c r="O3" s="150"/>
      <c r="P3" s="52" t="b">
        <v>1</v>
      </c>
    </row>
    <row r="4" spans="1:16" x14ac:dyDescent="0.25">
      <c r="B4" s="8"/>
      <c r="C4" s="8"/>
      <c r="D4" s="8"/>
      <c r="E4" s="8"/>
      <c r="F4" s="8"/>
      <c r="G4" s="8"/>
      <c r="H4" s="8"/>
      <c r="J4" s="149"/>
      <c r="L4" s="151" t="str">
        <f>IF(OR(B21&gt;0,C21&gt;0,D21&gt;0,D21),"Elméleti vizsgához: betöltött 17. életév"," ")</f>
        <v>Elméleti vizsgához: betöltött 17. életév</v>
      </c>
      <c r="M4" s="151"/>
      <c r="N4" s="151"/>
      <c r="O4" s="151"/>
      <c r="P4" s="52" t="b">
        <v>1</v>
      </c>
    </row>
    <row r="5" spans="1:16" x14ac:dyDescent="0.25">
      <c r="B5" s="8"/>
      <c r="C5" s="8"/>
      <c r="D5" s="8"/>
      <c r="E5" s="8"/>
      <c r="F5" s="8"/>
      <c r="G5" s="8"/>
      <c r="H5" s="8"/>
      <c r="J5" s="149"/>
      <c r="L5" s="152" t="str">
        <f>IF(OR(E21=18000,F21=18000),"Gyakorlati vizsgához: betöltött 18. életév"," ")</f>
        <v xml:space="preserve"> </v>
      </c>
      <c r="M5" s="153"/>
      <c r="N5" s="153"/>
      <c r="O5" s="154"/>
      <c r="P5" s="52"/>
    </row>
    <row r="6" spans="1:16" x14ac:dyDescent="0.25">
      <c r="B6" s="148" t="s">
        <v>101</v>
      </c>
      <c r="C6" s="148"/>
      <c r="D6" s="148"/>
      <c r="E6" s="148"/>
      <c r="F6" s="148"/>
      <c r="G6" s="148"/>
      <c r="H6" s="148"/>
      <c r="J6" s="149"/>
      <c r="L6" s="150" t="str">
        <f>IF(OR(P3,P4)=TRUE,"Érvényes, kedvtelési célú kishajó vezetésére szóló egészségi alkalmasság igazolása"," ")</f>
        <v>Érvényes, kedvtelési célú kishajó vezetésére szóló egészségi alkalmasság igazolása</v>
      </c>
      <c r="M6" s="150"/>
      <c r="N6" s="150"/>
      <c r="O6" s="150"/>
      <c r="P6" s="52"/>
    </row>
    <row r="7" spans="1:16" x14ac:dyDescent="0.25">
      <c r="B7" s="8"/>
      <c r="C7" s="8"/>
      <c r="D7" s="8"/>
      <c r="E7" s="8"/>
      <c r="F7" s="8"/>
      <c r="G7" s="8"/>
      <c r="H7" s="8"/>
      <c r="J7" s="149"/>
      <c r="L7" s="150"/>
      <c r="M7" s="150"/>
      <c r="N7" s="150"/>
      <c r="O7" s="150"/>
      <c r="P7" s="52" t="b">
        <v>0</v>
      </c>
    </row>
    <row r="8" spans="1:16" ht="15" customHeight="1" x14ac:dyDescent="0.25">
      <c r="B8" s="8"/>
      <c r="C8" s="8"/>
      <c r="D8" s="8"/>
      <c r="E8" s="8"/>
      <c r="F8" s="8"/>
      <c r="G8" s="8"/>
      <c r="H8" s="8"/>
      <c r="J8" s="149"/>
      <c r="L8" s="155" t="str">
        <f>IF(G22&gt;0,"A vizsgatárgyakat tartalmazó képzésen való részvétel igazolása"," ")</f>
        <v>A vizsgatárgyakat tartalmazó képzésen való részvétel igazolása</v>
      </c>
      <c r="M8" s="156"/>
      <c r="N8" s="156"/>
      <c r="O8" s="157"/>
      <c r="P8" s="52" t="b">
        <v>0</v>
      </c>
    </row>
    <row r="9" spans="1:16" ht="15" customHeight="1" x14ac:dyDescent="0.25">
      <c r="B9" s="8"/>
      <c r="C9" s="8"/>
      <c r="D9" s="8"/>
      <c r="E9" s="8"/>
      <c r="F9" s="8"/>
      <c r="G9" s="8"/>
      <c r="H9" s="8"/>
      <c r="J9" s="149"/>
      <c r="L9" s="155"/>
      <c r="M9" s="156"/>
      <c r="N9" s="156"/>
      <c r="O9" s="157"/>
      <c r="P9" s="52" t="b">
        <v>0</v>
      </c>
    </row>
    <row r="10" spans="1:16" x14ac:dyDescent="0.25">
      <c r="B10" s="8"/>
      <c r="C10" s="8"/>
      <c r="D10" s="8"/>
      <c r="E10" s="8"/>
      <c r="F10" s="8"/>
      <c r="G10" s="8"/>
      <c r="H10" s="8"/>
      <c r="I10" s="9"/>
      <c r="J10" s="149"/>
      <c r="L10" s="151" t="str">
        <f>IF(OR(P3,P4)=TRUE,"Díj befizetésének igazolása"," ")</f>
        <v>Díj befizetésének igazolása</v>
      </c>
      <c r="M10" s="151"/>
      <c r="N10" s="151"/>
      <c r="O10" s="151"/>
      <c r="P10" s="52"/>
    </row>
    <row r="11" spans="1:16" x14ac:dyDescent="0.25">
      <c r="B11" s="8"/>
      <c r="C11" s="8"/>
      <c r="D11" s="8"/>
      <c r="E11" s="8"/>
      <c r="F11" s="8"/>
      <c r="G11" s="8"/>
      <c r="H11" s="8"/>
      <c r="J11" s="149"/>
      <c r="L11" s="151" t="str">
        <f>IF(OR(OR(P3,P4)=FALSE,OR(P7,P8,P9,P11,P12:P14)=TRUE)," ","Nyilatkozat úszástudásról")</f>
        <v>Nyilatkozat úszástudásról</v>
      </c>
      <c r="M11" s="151"/>
      <c r="N11" s="151"/>
      <c r="O11" s="151"/>
      <c r="P11" s="52" t="b">
        <v>0</v>
      </c>
    </row>
    <row r="12" spans="1:16" x14ac:dyDescent="0.25">
      <c r="B12" s="8"/>
      <c r="C12" s="8"/>
      <c r="D12" s="8"/>
      <c r="E12" s="8"/>
      <c r="F12" s="8"/>
      <c r="G12" s="8"/>
      <c r="H12" s="8"/>
      <c r="J12" s="149"/>
      <c r="L12" s="151" t="str">
        <f>IF(AND(OR(P3:P4)=TRUE,$P$10=TRUE,$J$19&gt;13000),"Képesítés, bizonyítvány vagy oklevél bemutatása","")</f>
        <v/>
      </c>
      <c r="M12" s="151"/>
      <c r="N12" s="151"/>
      <c r="O12" s="151"/>
      <c r="P12" s="52" t="b">
        <v>0</v>
      </c>
    </row>
    <row r="13" spans="1:16" ht="16.5" customHeight="1" x14ac:dyDescent="0.25">
      <c r="B13" s="8"/>
      <c r="C13" s="8"/>
      <c r="D13" s="8"/>
      <c r="E13" s="8"/>
      <c r="F13" s="8"/>
      <c r="G13" s="8"/>
      <c r="H13" s="8"/>
      <c r="J13" s="11"/>
      <c r="L13" s="155" t="str">
        <f>IF(OR(P3,P4)=TRUE,IF(OR(P7:P12)=TRUE,"","Legalább alapfokú iskolai végzettség igazolása")," ")</f>
        <v>Legalább alapfokú iskolai végzettség igazolása</v>
      </c>
      <c r="M13" s="156"/>
      <c r="N13" s="156"/>
      <c r="O13" s="157"/>
      <c r="P13" s="52" t="b">
        <v>0</v>
      </c>
    </row>
    <row r="14" spans="1:16" ht="16.5" customHeight="1" x14ac:dyDescent="0.25">
      <c r="B14" s="8"/>
      <c r="C14" s="8"/>
      <c r="D14" s="8"/>
      <c r="E14" s="8"/>
      <c r="F14" s="8"/>
      <c r="G14" s="8"/>
      <c r="H14" s="8"/>
      <c r="J14" s="11"/>
      <c r="L14" s="162" t="str">
        <f>IF(OR(P15,P16)=TRUE,"Felmentési kérelemhez: képesítő okmány, vizsgajegyzőkönyv, leckekönyv vagy tanterv","")</f>
        <v/>
      </c>
      <c r="M14" s="163"/>
      <c r="N14" s="163"/>
      <c r="O14" s="164"/>
      <c r="P14" s="52" t="b">
        <v>0</v>
      </c>
    </row>
    <row r="15" spans="1:16" ht="16.5" customHeight="1" x14ac:dyDescent="0.25">
      <c r="B15" s="8"/>
      <c r="C15" s="8"/>
      <c r="D15" s="8"/>
      <c r="E15" s="8"/>
      <c r="F15" s="8"/>
      <c r="G15" s="8"/>
      <c r="H15" s="8"/>
      <c r="J15" s="11"/>
      <c r="L15" s="165"/>
      <c r="M15" s="166"/>
      <c r="N15" s="166"/>
      <c r="O15" s="167"/>
      <c r="P15" s="52" t="b">
        <v>0</v>
      </c>
    </row>
    <row r="16" spans="1:16" ht="16.5" customHeight="1" x14ac:dyDescent="0.25">
      <c r="B16" s="8"/>
      <c r="C16" s="8"/>
      <c r="D16" s="8"/>
      <c r="E16" s="8"/>
      <c r="F16" s="8"/>
      <c r="G16" s="8"/>
      <c r="H16" s="8"/>
      <c r="J16" s="11"/>
      <c r="L16" s="155"/>
      <c r="M16" s="156"/>
      <c r="N16" s="156"/>
      <c r="O16" s="157"/>
      <c r="P16" s="52" t="b">
        <v>0</v>
      </c>
    </row>
    <row r="17" spans="2:16" ht="15" customHeight="1" x14ac:dyDescent="0.25">
      <c r="L17" s="155"/>
      <c r="M17" s="156"/>
      <c r="N17" s="156"/>
      <c r="O17" s="157"/>
    </row>
    <row r="18" spans="2:16" ht="18" customHeight="1" x14ac:dyDescent="0.25">
      <c r="B18" s="158" t="s">
        <v>13</v>
      </c>
      <c r="C18" s="158"/>
      <c r="D18" s="158"/>
      <c r="E18" s="158"/>
      <c r="F18" s="158"/>
      <c r="I18" s="160" t="s">
        <v>89</v>
      </c>
      <c r="J18" s="161"/>
    </row>
    <row r="19" spans="2:16" s="17" customFormat="1" ht="126.75" customHeight="1" x14ac:dyDescent="0.25">
      <c r="B19" s="48" t="s">
        <v>95</v>
      </c>
      <c r="C19" s="48" t="s">
        <v>96</v>
      </c>
      <c r="D19" s="48" t="s">
        <v>97</v>
      </c>
      <c r="E19" s="48" t="s">
        <v>98</v>
      </c>
      <c r="F19" s="48" t="s">
        <v>99</v>
      </c>
      <c r="G19" s="49"/>
      <c r="H19" s="49"/>
      <c r="I19" s="48" t="s">
        <v>84</v>
      </c>
      <c r="J19" s="43">
        <f>SUM(B21:I21)</f>
        <v>105400</v>
      </c>
      <c r="K19" s="34"/>
      <c r="L19" s="159" t="str">
        <f>IF(P16=TRUE,"Hajózási szakképzésben szerzett képesítő bizonyítványként azt a képesítő okmányt lehet elfogadni, amelyet olyan oktatási intézmény adott ki, amelynek tanterve a hajózási hatóság által jóváhagyott szakmai oktatási programot tartalmazza","")</f>
        <v/>
      </c>
      <c r="M19" s="159"/>
      <c r="N19" s="159"/>
      <c r="O19" s="159"/>
      <c r="P19" s="53"/>
    </row>
    <row r="20" spans="2:16" s="2" customFormat="1" ht="15.75" customHeight="1" x14ac:dyDescent="0.25">
      <c r="B20" s="101" t="str">
        <f>IF(AND(P3=FALSE,P4=FALSE),"-",IF(OR(P7,P8,P9,P11,P12,P13,P14)=TRUE,"Felmentés",IF(OR(P15:P16)=TRUE,"Vizsga/felmentés","Vizsga")))</f>
        <v>Vizsga</v>
      </c>
      <c r="C20" s="101" t="str">
        <f>IF(P3=FALSE,"-",IF(OR(P8,P9,P11,P12,P13,P14)=TRUE,"Felmentés",IF(OR(P15:P16)=TRUE,"Vizsga/felmentés","Vizsga")))</f>
        <v>Vizsga</v>
      </c>
      <c r="D20" s="101" t="str">
        <f>IF(P4=FALSE,"-",IF(OR(P7,P8,P12,P13)=TRUE,"Felmentés",IF(OR(P15,P16)=TRUE,"Vizsga/felmentés","Vizsga")))</f>
        <v>Vizsga</v>
      </c>
      <c r="E20" s="101" t="str">
        <f>IF(P3=FALSE,"-",IF(OR(P9,P11,P13,P14)=TRUE,"Felmentés","Vizsga"))</f>
        <v>Vizsga</v>
      </c>
      <c r="F20" s="101" t="str">
        <f>IF(P4=FALSE,"-",IF(OR(P7,P8,P12,P13)=TRUE,"Felmentés","Vizsga"))</f>
        <v>Vizsga</v>
      </c>
      <c r="G20" s="36"/>
      <c r="H20" s="36"/>
      <c r="I20" s="42" t="s">
        <v>85</v>
      </c>
      <c r="P20" s="21"/>
    </row>
    <row r="21" spans="2:16" s="1" customFormat="1" x14ac:dyDescent="0.25">
      <c r="B21" s="4">
        <f>IF(AND(OR(P3,P4)=TRUE,P8=FALSE,P9=FALSE,P7=FALSE,P11=FALSE,P12=FALSE,P13=FALSE,P14=FALSE),KEZDŐLAP!F24,0)</f>
        <v>10900</v>
      </c>
      <c r="C21" s="4">
        <f>IF(AND(P3=TRUE,P8=FALSE,P9=FALSE,P11=FALSE,P12=FALSE,P13=FALSE,P14=FALSE),KEZDŐLAP!F24,0)</f>
        <v>10900</v>
      </c>
      <c r="D21" s="4">
        <f>IF(AND(P4=TRUE,P8=FALSE,P7=FALSE,P12=FALSE,P13=FALSE),KEZDŐLAP!F24,0)</f>
        <v>10900</v>
      </c>
      <c r="E21" s="50">
        <f>IF(AND(P3=TRUE,P9=FALSE,P11=FALSE,P13=FALSE,P14=FALSE),KEZDŐLAP!F29,0)</f>
        <v>28300</v>
      </c>
      <c r="F21" s="50">
        <f>IF(AND(P4=TRUE,P8=FALSE,P7=FALSE,P12=FALSE,P13=FALSE),KEZDŐLAP!F29,0)</f>
        <v>28300</v>
      </c>
      <c r="G21" s="38"/>
      <c r="H21" s="38"/>
      <c r="I21" s="41">
        <f>IF(OR(P3=TRUE,P4=TRUE),KEZDŐLAP!F31,0)</f>
        <v>16100</v>
      </c>
      <c r="K21" s="2"/>
      <c r="L21" s="2"/>
      <c r="M21" s="2"/>
      <c r="N21" s="2"/>
      <c r="P21" s="54"/>
    </row>
    <row r="22" spans="2:16" x14ac:dyDescent="0.25">
      <c r="E22" s="158" t="s">
        <v>88</v>
      </c>
      <c r="F22" s="158"/>
      <c r="G22" s="45">
        <f>SUM(B21:F21)</f>
        <v>89300</v>
      </c>
    </row>
  </sheetData>
  <sheetProtection sheet="1" selectLockedCells="1"/>
  <protectedRanges>
    <protectedRange password="EFFA" sqref="P13:P16 K3:P12 H20:O21 H19:K19 I2:P2 H3:I12 A17:A18 H13:K17 B3:G18 B1:O1 H18:I18 K18:O18 A19:G21" name="Tartomány1"/>
    <protectedRange password="EFFA" sqref="J3:J12" name="Tartomány1_2"/>
    <protectedRange password="EFFA" sqref="A1" name="Tartomány1_3"/>
    <protectedRange password="EFFA" sqref="B2:H2" name="Tartomány1_4"/>
    <protectedRange password="EFFA" sqref="L13:O17" name="Tartomány1_5"/>
    <protectedRange password="EFFA" sqref="L19:O19" name="Tartomány1_6"/>
  </protectedRanges>
  <mergeCells count="22">
    <mergeCell ref="B18:F18"/>
    <mergeCell ref="E22:F22"/>
    <mergeCell ref="B6:H6"/>
    <mergeCell ref="L11:O11"/>
    <mergeCell ref="L12:O12"/>
    <mergeCell ref="L19:O19"/>
    <mergeCell ref="I18:J18"/>
    <mergeCell ref="L13:O13"/>
    <mergeCell ref="L16:O16"/>
    <mergeCell ref="L17:O17"/>
    <mergeCell ref="L14:O15"/>
    <mergeCell ref="B1:H1"/>
    <mergeCell ref="L1:O1"/>
    <mergeCell ref="B2:H2"/>
    <mergeCell ref="J3:J12"/>
    <mergeCell ref="L3:O3"/>
    <mergeCell ref="L4:O4"/>
    <mergeCell ref="L5:O5"/>
    <mergeCell ref="L6:O7"/>
    <mergeCell ref="L10:O10"/>
    <mergeCell ref="L8:O8"/>
    <mergeCell ref="L9:O9"/>
  </mergeCells>
  <conditionalFormatting sqref="B20:H20">
    <cfRule type="containsText" dxfId="83" priority="1" operator="containsText" text="Vizsga">
      <formula>NOT(ISERROR(SEARCH("Vizsga",B20)))</formula>
    </cfRule>
    <cfRule type="containsText" dxfId="82" priority="2" operator="containsText" text="&quot;Vizsga&quot;">
      <formula>NOT(ISERROR(SEARCH("""Vizsga""",B20)))</formula>
    </cfRule>
  </conditionalFormatting>
  <hyperlinks>
    <hyperlink ref="A1" location="KEZDŐLAP!A1" display="X" xr:uid="{00000000-0004-0000-0100-000000000000}"/>
  </hyperlinks>
  <pageMargins left="0.7" right="0.7" top="0.75" bottom="0.75" header="0.3" footer="0.3"/>
  <pageSetup paperSize="9"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7891" r:id="rId4" name="Check Box 3">
              <controlPr defaultSize="0" autoFill="0" autoLine="0" autoPict="0" altText="Kisgéphajó">
                <anchor moveWithCells="1">
                  <from>
                    <xdr:col>1</xdr:col>
                    <xdr:colOff>438150</xdr:colOff>
                    <xdr:row>2</xdr:row>
                    <xdr:rowOff>0</xdr:rowOff>
                  </from>
                  <to>
                    <xdr:col>5</xdr:col>
                    <xdr:colOff>304800</xdr:colOff>
                    <xdr:row>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3" r:id="rId5" name="Check Box 5">
              <controlPr defaultSize="0" autoFill="0" autoLine="0" autoPict="0" altText="Vitorlás">
                <anchor moveWithCells="1">
                  <from>
                    <xdr:col>1</xdr:col>
                    <xdr:colOff>438150</xdr:colOff>
                    <xdr:row>3</xdr:row>
                    <xdr:rowOff>0</xdr:rowOff>
                  </from>
                  <to>
                    <xdr:col>5</xdr:col>
                    <xdr:colOff>342900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5" r:id="rId6" name="Check Box 7">
              <controlPr defaultSize="0" autoFill="0" autoLine="0" autoPict="0">
                <anchor moveWithCells="1">
                  <from>
                    <xdr:col>1</xdr:col>
                    <xdr:colOff>438150</xdr:colOff>
                    <xdr:row>7</xdr:row>
                    <xdr:rowOff>66675</xdr:rowOff>
                  </from>
                  <to>
                    <xdr:col>5</xdr:col>
                    <xdr:colOff>342900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6" r:id="rId7" name="Check Box 8">
              <controlPr defaultSize="0" autoFill="0" autoLine="0" autoPict="0">
                <anchor moveWithCells="1">
                  <from>
                    <xdr:col>1</xdr:col>
                    <xdr:colOff>438150</xdr:colOff>
                    <xdr:row>8</xdr:row>
                    <xdr:rowOff>123825</xdr:rowOff>
                  </from>
                  <to>
                    <xdr:col>4</xdr:col>
                    <xdr:colOff>742950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1" r:id="rId8" name="Check Box 13">
              <controlPr defaultSize="0" autoFill="0" autoLine="0" autoPict="0">
                <anchor moveWithCells="1">
                  <from>
                    <xdr:col>1</xdr:col>
                    <xdr:colOff>438150</xdr:colOff>
                    <xdr:row>6</xdr:row>
                    <xdr:rowOff>9525</xdr:rowOff>
                  </from>
                  <to>
                    <xdr:col>5</xdr:col>
                    <xdr:colOff>342900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3" r:id="rId9" name="Check Box 15">
              <controlPr defaultSize="0" autoFill="0" autoLine="0" autoPict="0">
                <anchor moveWithCells="1">
                  <from>
                    <xdr:col>1</xdr:col>
                    <xdr:colOff>438150</xdr:colOff>
                    <xdr:row>9</xdr:row>
                    <xdr:rowOff>161925</xdr:rowOff>
                  </from>
                  <to>
                    <xdr:col>5</xdr:col>
                    <xdr:colOff>1114425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4" r:id="rId10" name="Check Box 16">
              <controlPr defaultSize="0" autoFill="0" autoLine="0" autoPict="0">
                <anchor moveWithCells="1">
                  <from>
                    <xdr:col>1</xdr:col>
                    <xdr:colOff>438150</xdr:colOff>
                    <xdr:row>10</xdr:row>
                    <xdr:rowOff>180975</xdr:rowOff>
                  </from>
                  <to>
                    <xdr:col>5</xdr:col>
                    <xdr:colOff>352425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6" r:id="rId11" name="Check Box 18">
              <controlPr defaultSize="0" autoFill="0" autoLine="0" autoPict="0">
                <anchor moveWithCells="1">
                  <from>
                    <xdr:col>1</xdr:col>
                    <xdr:colOff>438150</xdr:colOff>
                    <xdr:row>12</xdr:row>
                    <xdr:rowOff>0</xdr:rowOff>
                  </from>
                  <to>
                    <xdr:col>5</xdr:col>
                    <xdr:colOff>352425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7" r:id="rId12" name="Check Box 19">
              <controlPr defaultSize="0" autoFill="0" autoLine="0" autoPict="0">
                <anchor moveWithCells="1">
                  <from>
                    <xdr:col>1</xdr:col>
                    <xdr:colOff>438150</xdr:colOff>
                    <xdr:row>12</xdr:row>
                    <xdr:rowOff>200025</xdr:rowOff>
                  </from>
                  <to>
                    <xdr:col>5</xdr:col>
                    <xdr:colOff>352425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9" r:id="rId13" name="Check Box 21">
              <controlPr defaultSize="0" autoFill="0" autoLine="0" autoPict="0">
                <anchor moveWithCells="1">
                  <from>
                    <xdr:col>1</xdr:col>
                    <xdr:colOff>438150</xdr:colOff>
                    <xdr:row>13</xdr:row>
                    <xdr:rowOff>161925</xdr:rowOff>
                  </from>
                  <to>
                    <xdr:col>7</xdr:col>
                    <xdr:colOff>876300</xdr:colOff>
                    <xdr:row>15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10" r:id="rId14" name="Check Box 22">
              <controlPr defaultSize="0" autoFill="0" autoLine="0" autoPict="0">
                <anchor moveWithCells="1">
                  <from>
                    <xdr:col>1</xdr:col>
                    <xdr:colOff>438150</xdr:colOff>
                    <xdr:row>14</xdr:row>
                    <xdr:rowOff>190500</xdr:rowOff>
                  </from>
                  <to>
                    <xdr:col>6</xdr:col>
                    <xdr:colOff>685800</xdr:colOff>
                    <xdr:row>16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514A0-F3A9-47E7-B7C2-0430526940B5}">
  <sheetPr>
    <tabColor rgb="FFFFC000"/>
  </sheetPr>
  <dimension ref="A1:Q24"/>
  <sheetViews>
    <sheetView workbookViewId="0"/>
  </sheetViews>
  <sheetFormatPr defaultRowHeight="15" x14ac:dyDescent="0.25"/>
  <cols>
    <col min="1" max="1" width="3.42578125" customWidth="1"/>
    <col min="2" max="7" width="7.85546875" customWidth="1"/>
    <col min="8" max="9" width="10.140625" customWidth="1"/>
    <col min="10" max="10" width="3.5703125" customWidth="1"/>
    <col min="11" max="11" width="27.42578125" customWidth="1"/>
    <col min="12" max="12" width="3.140625" customWidth="1"/>
    <col min="13" max="16" width="17.5703125" customWidth="1"/>
    <col min="17" max="17" width="1.140625" customWidth="1"/>
  </cols>
  <sheetData>
    <row r="1" spans="1:17" x14ac:dyDescent="0.25">
      <c r="A1" s="26" t="s">
        <v>43</v>
      </c>
      <c r="B1" s="147" t="s">
        <v>148</v>
      </c>
      <c r="C1" s="147"/>
      <c r="D1" s="147"/>
      <c r="E1" s="147"/>
      <c r="F1" s="147"/>
      <c r="G1" s="147"/>
      <c r="H1" s="147"/>
      <c r="I1" s="147"/>
      <c r="K1" s="5" t="s">
        <v>1</v>
      </c>
      <c r="M1" s="147" t="s">
        <v>149</v>
      </c>
      <c r="N1" s="147"/>
      <c r="O1" s="147"/>
      <c r="P1" s="147"/>
    </row>
    <row r="2" spans="1:17" ht="17.25" customHeight="1" x14ac:dyDescent="0.25">
      <c r="B2" s="196"/>
      <c r="C2" s="196"/>
      <c r="D2" s="196"/>
      <c r="E2" s="196"/>
      <c r="F2" s="196"/>
      <c r="G2" s="196"/>
      <c r="H2" s="196"/>
      <c r="I2" s="196"/>
      <c r="K2" s="1"/>
      <c r="Q2" s="24"/>
    </row>
    <row r="3" spans="1:17" ht="17.25" customHeight="1" x14ac:dyDescent="0.25">
      <c r="B3" s="8"/>
      <c r="C3" s="8"/>
      <c r="D3" s="8"/>
      <c r="E3" s="8"/>
      <c r="F3" s="8"/>
      <c r="G3" s="8"/>
      <c r="H3" s="8"/>
      <c r="I3" s="8"/>
      <c r="K3" s="228" t="s">
        <v>147</v>
      </c>
      <c r="M3" s="175"/>
      <c r="N3" s="175"/>
      <c r="O3" s="175"/>
      <c r="P3" s="175"/>
      <c r="Q3" s="64"/>
    </row>
    <row r="4" spans="1:17" ht="17.25" customHeight="1" x14ac:dyDescent="0.25">
      <c r="B4" s="8"/>
      <c r="C4" s="8"/>
      <c r="D4" s="8"/>
      <c r="E4" s="8"/>
      <c r="F4" s="8"/>
      <c r="G4" s="8"/>
      <c r="H4" s="8"/>
      <c r="I4" s="8"/>
      <c r="K4" s="228"/>
      <c r="M4" s="178" t="str">
        <f>IF(Q4=TRUE,"Képesítés bejegyzési kérelem","HSZK kiállítására vonatkozó kérelem")</f>
        <v>HSZK kiállítására vonatkozó kérelem</v>
      </c>
      <c r="N4" s="178"/>
      <c r="O4" s="178"/>
      <c r="P4" s="178"/>
      <c r="Q4" s="64" t="b">
        <v>0</v>
      </c>
    </row>
    <row r="5" spans="1:17" ht="17.25" customHeight="1" x14ac:dyDescent="0.25">
      <c r="B5" s="8"/>
      <c r="C5" s="8"/>
      <c r="D5" s="8"/>
      <c r="E5" s="8"/>
      <c r="F5" s="8"/>
      <c r="G5" s="8"/>
      <c r="H5" s="8"/>
      <c r="I5" s="8"/>
      <c r="K5" s="228"/>
      <c r="M5" s="178" t="s">
        <v>129</v>
      </c>
      <c r="N5" s="178"/>
      <c r="O5" s="178"/>
      <c r="P5" s="178"/>
      <c r="Q5" s="64"/>
    </row>
    <row r="6" spans="1:17" ht="17.25" customHeight="1" x14ac:dyDescent="0.25">
      <c r="B6" s="8"/>
      <c r="C6" s="8"/>
      <c r="D6" s="8"/>
      <c r="E6" s="8"/>
      <c r="F6" s="8"/>
      <c r="G6" s="8"/>
      <c r="H6" s="8"/>
      <c r="I6" s="8"/>
      <c r="K6" s="228"/>
      <c r="M6" s="175" t="s">
        <v>131</v>
      </c>
      <c r="N6" s="175"/>
      <c r="O6" s="175"/>
      <c r="P6" s="175"/>
      <c r="Q6" s="64"/>
    </row>
    <row r="7" spans="1:17" ht="17.25" customHeight="1" x14ac:dyDescent="0.25">
      <c r="B7" s="8"/>
      <c r="C7" s="8"/>
      <c r="D7" s="8"/>
      <c r="E7" s="8"/>
      <c r="F7" s="8"/>
      <c r="G7" s="8"/>
      <c r="H7" s="8"/>
      <c r="I7" s="8"/>
      <c r="K7" s="228"/>
      <c r="M7" s="175"/>
      <c r="N7" s="175"/>
      <c r="O7" s="175"/>
      <c r="P7" s="175"/>
      <c r="Q7" s="64"/>
    </row>
    <row r="8" spans="1:17" ht="7.5" customHeight="1" x14ac:dyDescent="0.25">
      <c r="B8" s="8"/>
      <c r="C8" s="8"/>
      <c r="D8" s="8"/>
      <c r="E8" s="8"/>
      <c r="F8" s="8"/>
      <c r="G8" s="8"/>
      <c r="H8" s="8"/>
      <c r="I8" s="8"/>
      <c r="K8" s="228"/>
      <c r="M8" s="175" t="s">
        <v>150</v>
      </c>
      <c r="N8" s="175"/>
      <c r="O8" s="175"/>
      <c r="P8" s="175"/>
      <c r="Q8" s="64"/>
    </row>
    <row r="9" spans="1:17" ht="7.5" customHeight="1" x14ac:dyDescent="0.25">
      <c r="B9" s="8"/>
      <c r="C9" s="8"/>
      <c r="D9" s="8"/>
      <c r="E9" s="8"/>
      <c r="F9" s="8"/>
      <c r="G9" s="8"/>
      <c r="H9" s="8"/>
      <c r="I9" s="8"/>
      <c r="K9" s="229"/>
      <c r="M9" s="175"/>
      <c r="N9" s="175"/>
      <c r="O9" s="175"/>
      <c r="P9" s="175"/>
      <c r="Q9" s="64"/>
    </row>
    <row r="10" spans="1:17" ht="7.5" customHeight="1" x14ac:dyDescent="0.25">
      <c r="B10" s="8"/>
      <c r="C10" s="8"/>
      <c r="D10" s="8"/>
      <c r="E10" s="8"/>
      <c r="F10" s="8"/>
      <c r="G10" s="8"/>
      <c r="H10" s="8"/>
      <c r="I10" s="8"/>
      <c r="J10" s="9"/>
      <c r="K10" s="229"/>
      <c r="M10" s="175"/>
      <c r="N10" s="175"/>
      <c r="O10" s="175"/>
      <c r="P10" s="175"/>
      <c r="Q10" s="64"/>
    </row>
    <row r="11" spans="1:17" ht="7.5" customHeight="1" x14ac:dyDescent="0.25">
      <c r="B11" s="8"/>
      <c r="C11" s="8"/>
      <c r="D11" s="8"/>
      <c r="E11" s="8"/>
      <c r="F11" s="8"/>
      <c r="G11" s="8"/>
      <c r="H11" s="8"/>
      <c r="I11" s="8"/>
      <c r="K11" s="229"/>
      <c r="M11" s="175"/>
      <c r="N11" s="175"/>
      <c r="O11" s="175"/>
      <c r="P11" s="175"/>
      <c r="Q11" s="64"/>
    </row>
    <row r="12" spans="1:17" ht="17.25" customHeight="1" x14ac:dyDescent="0.25">
      <c r="B12" s="8"/>
      <c r="C12" s="8"/>
      <c r="D12" s="8"/>
      <c r="E12" s="8"/>
      <c r="F12" s="8"/>
      <c r="G12" s="8"/>
      <c r="H12" s="8"/>
      <c r="I12" s="8"/>
      <c r="K12" s="229"/>
      <c r="M12" s="178" t="s">
        <v>151</v>
      </c>
      <c r="N12" s="178"/>
      <c r="O12" s="178"/>
      <c r="P12" s="178"/>
      <c r="Q12" s="64"/>
    </row>
    <row r="13" spans="1:17" ht="17.25" customHeight="1" x14ac:dyDescent="0.25">
      <c r="B13" s="8"/>
      <c r="C13" s="8"/>
      <c r="D13" s="8"/>
      <c r="E13" s="8"/>
      <c r="F13" s="8"/>
      <c r="G13" s="8"/>
      <c r="H13" s="8"/>
      <c r="I13" s="8"/>
      <c r="K13" s="229"/>
      <c r="M13" s="175" t="s">
        <v>110</v>
      </c>
      <c r="N13" s="175"/>
      <c r="O13" s="175"/>
      <c r="P13" s="175"/>
      <c r="Q13" s="64"/>
    </row>
    <row r="14" spans="1:17" ht="8.25" customHeight="1" x14ac:dyDescent="0.25">
      <c r="K14" s="71"/>
      <c r="M14" s="196"/>
      <c r="N14" s="196"/>
      <c r="O14" s="196"/>
      <c r="P14" s="196"/>
    </row>
    <row r="15" spans="1:17" x14ac:dyDescent="0.25">
      <c r="K15" s="1" t="s">
        <v>119</v>
      </c>
      <c r="M15" s="196"/>
      <c r="N15" s="196"/>
      <c r="O15" s="196"/>
      <c r="P15" s="196"/>
    </row>
    <row r="16" spans="1:17" s="2" customFormat="1" ht="42.75" customHeight="1" x14ac:dyDescent="0.25">
      <c r="B16"/>
      <c r="C16"/>
      <c r="D16"/>
      <c r="E16" s="37"/>
      <c r="F16" s="37"/>
      <c r="G16" s="37"/>
      <c r="H16" s="6" t="s">
        <v>145</v>
      </c>
      <c r="I16" s="58" t="s">
        <v>146</v>
      </c>
      <c r="K16" s="43">
        <f>SUM(H17:I17)</f>
        <v>26100</v>
      </c>
      <c r="M16" s="72"/>
      <c r="N16" s="72"/>
      <c r="O16" s="72"/>
      <c r="P16" s="72"/>
    </row>
    <row r="17" spans="2:16" s="2" customFormat="1" ht="15.75" customHeight="1" x14ac:dyDescent="0.25">
      <c r="B17"/>
      <c r="C17"/>
      <c r="D17"/>
      <c r="E17" s="36"/>
      <c r="F17" s="36"/>
      <c r="G17" s="36"/>
      <c r="H17" s="73">
        <f>IF(Q4=TRUE,0,KEZDŐLAP!F33)</f>
        <v>17400</v>
      </c>
      <c r="I17" s="73">
        <f>KEZDŐLAP!F32</f>
        <v>8700</v>
      </c>
      <c r="K17" s="17"/>
      <c r="L17" s="17"/>
      <c r="M17" s="72"/>
      <c r="N17" s="72"/>
      <c r="O17" s="72"/>
      <c r="P17" s="72"/>
    </row>
    <row r="18" spans="2:16" s="1" customFormat="1" x14ac:dyDescent="0.25">
      <c r="B18"/>
      <c r="C18"/>
      <c r="D18"/>
      <c r="E18" s="70"/>
      <c r="F18" s="70"/>
      <c r="G18" s="70"/>
      <c r="J18" s="2"/>
      <c r="K18" s="17"/>
      <c r="L18" s="17"/>
      <c r="M18" s="72"/>
      <c r="N18" s="72"/>
      <c r="O18" s="72"/>
      <c r="P18" s="72"/>
    </row>
    <row r="19" spans="2:16" x14ac:dyDescent="0.25">
      <c r="E19" s="19"/>
      <c r="K19" s="17"/>
      <c r="L19" s="17"/>
      <c r="M19" s="72"/>
      <c r="N19" s="72"/>
      <c r="O19" s="72"/>
      <c r="P19" s="72"/>
    </row>
    <row r="20" spans="2:16" x14ac:dyDescent="0.25">
      <c r="L20" s="17"/>
      <c r="M20" s="72"/>
      <c r="N20" s="72"/>
      <c r="O20" s="72"/>
      <c r="P20" s="72"/>
    </row>
    <row r="21" spans="2:16" x14ac:dyDescent="0.25">
      <c r="L21" s="17"/>
      <c r="M21" s="17"/>
      <c r="N21" s="17"/>
      <c r="O21" s="17"/>
      <c r="P21" s="17"/>
    </row>
    <row r="22" spans="2:16" x14ac:dyDescent="0.25">
      <c r="L22" s="17"/>
      <c r="M22" s="17"/>
      <c r="N22" s="17"/>
      <c r="O22" s="17"/>
      <c r="P22" s="17"/>
    </row>
    <row r="23" spans="2:16" x14ac:dyDescent="0.25">
      <c r="L23" s="17"/>
      <c r="M23" s="17"/>
      <c r="N23" s="17"/>
      <c r="O23" s="17"/>
      <c r="P23" s="17"/>
    </row>
    <row r="24" spans="2:16" x14ac:dyDescent="0.25">
      <c r="L24" s="17"/>
      <c r="M24" s="17"/>
      <c r="N24" s="17"/>
      <c r="O24" s="17"/>
      <c r="P24" s="17"/>
    </row>
  </sheetData>
  <sheetProtection sheet="1" selectLockedCells="1"/>
  <protectedRanges>
    <protectedRange password="EFFA" sqref="L3:P4 Q3:Q13 E16:G18 B1:P1 J2:Q2 A14:A18 I17:J18 N6:P10 M6 M12:P14 M8:M10 L5:L14 B3:J14 M15:O15 K16 E15:I15" name="Tartomány1"/>
    <protectedRange password="EFFA" sqref="K3:K14" name="Tartomány1_2"/>
    <protectedRange password="EFFA" sqref="M5:P5" name="Tartomány1_1"/>
    <protectedRange password="EFFA" sqref="A1" name="Tartomány1_3"/>
    <protectedRange password="EFFA" sqref="K15" name="Tartomány1_6"/>
    <protectedRange password="EFFA" sqref="K18:N18 K17:L17" name="Tartomány1_2_1"/>
    <protectedRange password="EFFA" sqref="B2:I2" name="Tartomány1_7"/>
    <protectedRange password="EFFA" sqref="M16:N17" name="Tartomány1_2_1_1"/>
  </protectedRanges>
  <mergeCells count="14">
    <mergeCell ref="M12:P12"/>
    <mergeCell ref="M13:P13"/>
    <mergeCell ref="M14:P14"/>
    <mergeCell ref="M15:P15"/>
    <mergeCell ref="B1:I1"/>
    <mergeCell ref="M1:P1"/>
    <mergeCell ref="B2:I2"/>
    <mergeCell ref="K3:K8"/>
    <mergeCell ref="M3:P3"/>
    <mergeCell ref="M4:P4"/>
    <mergeCell ref="M5:P5"/>
    <mergeCell ref="M6:P7"/>
    <mergeCell ref="M8:P11"/>
    <mergeCell ref="K9:K13"/>
  </mergeCells>
  <conditionalFormatting sqref="E17:G17">
    <cfRule type="containsText" dxfId="55" priority="1" operator="containsText" text="Vizsga">
      <formula>NOT(ISERROR(SEARCH("Vizsga",E17)))</formula>
    </cfRule>
    <cfRule type="containsText" dxfId="54" priority="2" operator="containsText" text="&quot;Vizsga&quot;">
      <formula>NOT(ISERROR(SEARCH("""Vizsga""",E17)))</formula>
    </cfRule>
  </conditionalFormatting>
  <hyperlinks>
    <hyperlink ref="A1" location="KEZDŐLAP!A1" display="X" xr:uid="{7F172030-B1D6-4D4F-8C87-57C101FFA38A}"/>
  </hyperlinks>
  <pageMargins left="0.7" right="0.7" top="0.75" bottom="0.75" header="0.3" footer="0.3"/>
  <pageSetup paperSize="9"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4689" r:id="rId4" name="Check Box 1">
              <controlPr defaultSize="0" autoFill="0" autoLine="0" autoPict="0">
                <anchor moveWithCells="1">
                  <from>
                    <xdr:col>1</xdr:col>
                    <xdr:colOff>304800</xdr:colOff>
                    <xdr:row>2</xdr:row>
                    <xdr:rowOff>38100</xdr:rowOff>
                  </from>
                  <to>
                    <xdr:col>10</xdr:col>
                    <xdr:colOff>933450</xdr:colOff>
                    <xdr:row>4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E5390-E716-4415-B17E-A1F98C9FB81B}">
  <sheetPr>
    <tabColor rgb="FFFFC000"/>
  </sheetPr>
  <dimension ref="A1:Q32"/>
  <sheetViews>
    <sheetView workbookViewId="0"/>
  </sheetViews>
  <sheetFormatPr defaultRowHeight="15" x14ac:dyDescent="0.25"/>
  <cols>
    <col min="1" max="1" width="3.42578125" customWidth="1"/>
    <col min="2" max="9" width="13.7109375" customWidth="1"/>
    <col min="10" max="10" width="3.5703125" customWidth="1"/>
    <col min="11" max="12" width="19.28515625" customWidth="1"/>
    <col min="13" max="14" width="8.5703125" customWidth="1"/>
    <col min="15" max="16" width="19.28515625" customWidth="1"/>
    <col min="17" max="17" width="1.42578125" customWidth="1"/>
  </cols>
  <sheetData>
    <row r="1" spans="1:17" x14ac:dyDescent="0.25">
      <c r="A1" s="26" t="s">
        <v>43</v>
      </c>
      <c r="B1" s="147" t="s">
        <v>152</v>
      </c>
      <c r="C1" s="147"/>
      <c r="D1" s="147"/>
      <c r="E1" s="147"/>
      <c r="F1" s="147"/>
      <c r="G1" s="147"/>
      <c r="H1" s="147"/>
      <c r="I1" s="147"/>
      <c r="K1" s="147" t="s">
        <v>154</v>
      </c>
      <c r="L1" s="147"/>
      <c r="M1" s="147"/>
      <c r="N1" s="147"/>
      <c r="O1" s="147"/>
      <c r="P1" s="147"/>
    </row>
    <row r="2" spans="1:17" ht="6" customHeight="1" thickBot="1" x14ac:dyDescent="0.3">
      <c r="B2" s="196"/>
      <c r="C2" s="196"/>
      <c r="D2" s="196"/>
      <c r="E2" s="196"/>
      <c r="F2" s="196"/>
      <c r="G2" s="196"/>
      <c r="H2" s="196"/>
      <c r="I2" s="196"/>
      <c r="K2" s="1"/>
      <c r="Q2" s="24"/>
    </row>
    <row r="3" spans="1:17" ht="22.5" customHeight="1" x14ac:dyDescent="0.25">
      <c r="B3" s="176" t="s">
        <v>153</v>
      </c>
      <c r="C3" s="176"/>
      <c r="D3" s="176"/>
      <c r="E3" s="176"/>
      <c r="F3" s="176"/>
      <c r="G3" s="176"/>
      <c r="H3" s="176"/>
      <c r="I3" s="176"/>
      <c r="K3" s="259" t="s">
        <v>155</v>
      </c>
      <c r="L3" s="260"/>
      <c r="M3" s="260"/>
      <c r="N3" s="260"/>
      <c r="O3" s="260"/>
      <c r="P3" s="261"/>
      <c r="Q3" s="64"/>
    </row>
    <row r="4" spans="1:17" ht="22.5" customHeight="1" x14ac:dyDescent="0.25">
      <c r="B4" s="230"/>
      <c r="C4" s="230"/>
      <c r="D4" s="230"/>
      <c r="E4" s="230"/>
      <c r="F4" s="230"/>
      <c r="G4" s="230"/>
      <c r="H4" s="230"/>
      <c r="I4" s="230"/>
      <c r="K4" s="262" t="s">
        <v>287</v>
      </c>
      <c r="L4" s="178"/>
      <c r="M4" s="178"/>
      <c r="N4" s="178"/>
      <c r="O4" s="178"/>
      <c r="P4" s="263"/>
      <c r="Q4" s="64"/>
    </row>
    <row r="5" spans="1:17" ht="22.5" customHeight="1" x14ac:dyDescent="0.25">
      <c r="B5" s="8"/>
      <c r="C5" s="8"/>
      <c r="D5" s="8"/>
      <c r="E5" s="8"/>
      <c r="F5" s="8"/>
      <c r="G5" s="8"/>
      <c r="H5" s="8"/>
      <c r="I5" s="8"/>
      <c r="K5" s="262" t="s">
        <v>129</v>
      </c>
      <c r="L5" s="178"/>
      <c r="M5" s="178"/>
      <c r="N5" s="178"/>
      <c r="O5" s="178"/>
      <c r="P5" s="263"/>
      <c r="Q5" s="64" t="b">
        <v>0</v>
      </c>
    </row>
    <row r="6" spans="1:17" ht="22.5" customHeight="1" x14ac:dyDescent="0.25">
      <c r="B6" s="8"/>
      <c r="C6" s="8"/>
      <c r="D6" s="8"/>
      <c r="E6" s="8"/>
      <c r="F6" s="8"/>
      <c r="G6" s="8"/>
      <c r="H6" s="8"/>
      <c r="I6" s="8"/>
      <c r="K6" s="253" t="s">
        <v>131</v>
      </c>
      <c r="L6" s="175"/>
      <c r="M6" s="175"/>
      <c r="N6" s="175"/>
      <c r="O6" s="175"/>
      <c r="P6" s="254"/>
      <c r="Q6" s="64" t="b">
        <v>0</v>
      </c>
    </row>
    <row r="7" spans="1:17" ht="22.5" customHeight="1" x14ac:dyDescent="0.25">
      <c r="B7" s="8"/>
      <c r="C7" s="8"/>
      <c r="D7" s="8"/>
      <c r="E7" s="8"/>
      <c r="F7" s="8"/>
      <c r="G7" s="8"/>
      <c r="H7" s="8"/>
      <c r="I7" s="8"/>
      <c r="K7" s="253"/>
      <c r="L7" s="175"/>
      <c r="M7" s="175"/>
      <c r="N7" s="175"/>
      <c r="O7" s="175"/>
      <c r="P7" s="254"/>
      <c r="Q7" s="64" t="b">
        <v>0</v>
      </c>
    </row>
    <row r="8" spans="1:17" ht="22.5" customHeight="1" x14ac:dyDescent="0.25">
      <c r="B8" s="8"/>
      <c r="C8" s="8"/>
      <c r="D8" s="8"/>
      <c r="E8" s="8"/>
      <c r="F8" s="8"/>
      <c r="G8" s="8"/>
      <c r="H8" s="8"/>
      <c r="I8" s="8"/>
      <c r="K8" s="253" t="s">
        <v>110</v>
      </c>
      <c r="L8" s="175"/>
      <c r="M8" s="175"/>
      <c r="N8" s="175"/>
      <c r="O8" s="175"/>
      <c r="P8" s="254"/>
      <c r="Q8" s="64" t="b">
        <v>0</v>
      </c>
    </row>
    <row r="9" spans="1:17" ht="22.5" customHeight="1" thickBot="1" x14ac:dyDescent="0.3">
      <c r="B9" s="8"/>
      <c r="C9" s="8"/>
      <c r="D9" s="8"/>
      <c r="E9" s="8"/>
      <c r="F9" s="8"/>
      <c r="G9" s="8"/>
      <c r="H9" s="8"/>
      <c r="I9" s="8"/>
      <c r="K9" s="255" t="str">
        <f>IF(OR($Q$5,Q11)=TRUE,"","Betöltött 17. életév")</f>
        <v>Betöltött 17. életév</v>
      </c>
      <c r="L9" s="256"/>
      <c r="M9" s="256"/>
      <c r="N9" s="256"/>
      <c r="O9" s="256"/>
      <c r="P9" s="257"/>
      <c r="Q9" s="64"/>
    </row>
    <row r="10" spans="1:17" ht="22.5" customHeight="1" thickBot="1" x14ac:dyDescent="0.3">
      <c r="B10" s="8"/>
      <c r="C10" s="8"/>
      <c r="D10" s="8"/>
      <c r="E10" s="8"/>
      <c r="F10" s="8"/>
      <c r="G10" s="8"/>
      <c r="H10" s="8"/>
      <c r="I10" s="8"/>
      <c r="K10" s="232" t="str">
        <f>IF(OR(Q8,Q11)=TRUE,"","továbbá")</f>
        <v>továbbá</v>
      </c>
      <c r="L10" s="232"/>
      <c r="M10" s="232"/>
      <c r="N10" s="232"/>
      <c r="O10" s="232"/>
      <c r="P10" s="232"/>
      <c r="Q10" s="64" t="b">
        <v>0</v>
      </c>
    </row>
    <row r="11" spans="1:17" ht="22.5" customHeight="1" x14ac:dyDescent="0.25">
      <c r="B11" s="8"/>
      <c r="C11" s="8"/>
      <c r="D11" s="8"/>
      <c r="E11" s="8"/>
      <c r="F11" s="8"/>
      <c r="G11" s="8"/>
      <c r="H11" s="8"/>
      <c r="I11" s="8"/>
      <c r="K11" s="247" t="str">
        <f>IF(OR(Q11,Q8)=TRUE,"","Legalább két év időtartamú, az üzemeltetési szintű feladatok tekintetében a kompetenciákra vonatkozóan  meghatározott követelményeken alapuló, jóváhagyott képzési program elvégzése")</f>
        <v>Legalább két év időtartamú, az üzemeltetési szintű feladatok tekintetében a kompetenciákra vonatkozóan  meghatározott követelményeken alapuló, jóváhagyott képzési program elvégzése</v>
      </c>
      <c r="L11" s="248"/>
      <c r="M11" s="78"/>
      <c r="N11" s="78"/>
      <c r="O11" s="248" t="str">
        <f>IF(OR(Q8,Q11)=TRUE,"",IF(OR(Q6,Q7,Q10)=TRUE,"Legalább kilenc hónap időtartamú jóváhagyott képzési program elvégzése, amely az üzemeltetési szintű feladatok tekintetében a kompetenciákra vonatkozóan az e mellékletben meghatározott követelményeken alapult",""))</f>
        <v/>
      </c>
      <c r="P11" s="249"/>
      <c r="Q11" s="64" t="b">
        <v>0</v>
      </c>
    </row>
    <row r="12" spans="1:17" ht="22.5" customHeight="1" x14ac:dyDescent="0.25">
      <c r="B12" s="8"/>
      <c r="C12" s="8"/>
      <c r="D12" s="8"/>
      <c r="E12" s="8"/>
      <c r="F12" s="8"/>
      <c r="G12" s="8"/>
      <c r="H12" s="8"/>
      <c r="I12" s="8"/>
      <c r="K12" s="236"/>
      <c r="L12" s="149"/>
      <c r="M12" s="71"/>
      <c r="N12" s="71"/>
      <c r="O12" s="149"/>
      <c r="P12" s="237"/>
      <c r="Q12" s="64" t="b">
        <v>1</v>
      </c>
    </row>
    <row r="13" spans="1:17" ht="22.5" customHeight="1" x14ac:dyDescent="0.25">
      <c r="B13" s="8"/>
      <c r="C13" s="8"/>
      <c r="D13" s="8"/>
      <c r="E13" s="8"/>
      <c r="F13" s="8"/>
      <c r="G13" s="8"/>
      <c r="H13" s="8"/>
      <c r="I13" s="8"/>
      <c r="J13" s="9"/>
      <c r="K13" s="236"/>
      <c r="L13" s="149"/>
      <c r="M13" s="149" t="str">
        <f>IF(OR(Q8,Q11)=TRUE,"",IF(OR(Q6,Q7,Q10)=TRUE,"vagy",""))</f>
        <v/>
      </c>
      <c r="N13" s="149"/>
      <c r="O13" s="149"/>
      <c r="P13" s="237"/>
      <c r="Q13" s="64" t="b">
        <v>0</v>
      </c>
    </row>
    <row r="14" spans="1:17" ht="22.5" customHeight="1" x14ac:dyDescent="0.25">
      <c r="B14" s="258" t="s">
        <v>292</v>
      </c>
      <c r="C14" s="258"/>
      <c r="D14" s="258"/>
      <c r="E14" s="258"/>
      <c r="F14" s="258"/>
      <c r="G14" s="258"/>
      <c r="H14" s="258"/>
      <c r="I14" s="258"/>
      <c r="J14" s="9"/>
      <c r="K14" s="236"/>
      <c r="L14" s="149"/>
      <c r="M14" s="71"/>
      <c r="N14" s="71"/>
      <c r="O14" s="149"/>
      <c r="P14" s="237"/>
      <c r="Q14" s="64" t="b">
        <v>0</v>
      </c>
    </row>
    <row r="15" spans="1:17" ht="22.5" customHeight="1" x14ac:dyDescent="0.25">
      <c r="B15" s="258"/>
      <c r="C15" s="258"/>
      <c r="D15" s="258"/>
      <c r="E15" s="258"/>
      <c r="F15" s="258"/>
      <c r="G15" s="258"/>
      <c r="H15" s="258"/>
      <c r="I15" s="258"/>
      <c r="J15" s="9"/>
      <c r="K15" s="236"/>
      <c r="L15" s="149"/>
      <c r="M15" s="71"/>
      <c r="N15" s="71"/>
      <c r="O15" s="149"/>
      <c r="P15" s="237"/>
      <c r="Q15" s="64"/>
    </row>
    <row r="16" spans="1:17" ht="22.5" customHeight="1" x14ac:dyDescent="0.25">
      <c r="B16" s="258"/>
      <c r="C16" s="258"/>
      <c r="D16" s="258"/>
      <c r="E16" s="258"/>
      <c r="F16" s="258"/>
      <c r="G16" s="258"/>
      <c r="H16" s="258"/>
      <c r="I16" s="258"/>
      <c r="J16" s="9"/>
      <c r="K16" s="236" t="str">
        <f>IF(OR(Q8,Q11)=TRUE,"","és")</f>
        <v>és</v>
      </c>
      <c r="L16" s="149"/>
      <c r="M16" s="149"/>
      <c r="N16" s="149"/>
      <c r="O16" s="149"/>
      <c r="P16" s="237"/>
      <c r="Q16" s="64"/>
    </row>
    <row r="17" spans="2:17" ht="32.25" customHeight="1" x14ac:dyDescent="0.25">
      <c r="B17" s="231" t="s">
        <v>215</v>
      </c>
      <c r="C17" s="231"/>
      <c r="D17" s="231"/>
      <c r="E17" s="231"/>
      <c r="F17" s="231"/>
      <c r="G17" s="231"/>
      <c r="H17" s="231"/>
      <c r="I17" s="231"/>
      <c r="J17" s="9"/>
      <c r="K17" s="236" t="str">
        <f>IF(OR(Q8,Q11)=TRUE,"","Az elvégzett képzési program részeként legalább 90 nap hajózási idő teljesítése")</f>
        <v>Az elvégzett képzési program részeként legalább 90 nap hajózási idő teljesítése</v>
      </c>
      <c r="L17" s="149"/>
      <c r="M17" s="149"/>
      <c r="N17" s="149"/>
      <c r="O17" s="149"/>
      <c r="P17" s="237"/>
      <c r="Q17" s="64"/>
    </row>
    <row r="18" spans="2:17" ht="18" customHeight="1" x14ac:dyDescent="0.25">
      <c r="B18" s="44" t="s">
        <v>193</v>
      </c>
      <c r="C18" s="227" t="s">
        <v>59</v>
      </c>
      <c r="D18" s="227"/>
      <c r="E18" s="227"/>
      <c r="F18" s="34"/>
      <c r="G18" s="34"/>
      <c r="H18" s="34"/>
      <c r="I18" s="34"/>
      <c r="J18" s="9"/>
      <c r="K18" s="236" t="str">
        <f>IF(OR(Q8,Q11)=TRUE,"","és")</f>
        <v>és</v>
      </c>
      <c r="L18" s="149"/>
      <c r="M18" s="149"/>
      <c r="N18" s="149"/>
      <c r="O18" s="149"/>
      <c r="P18" s="237"/>
      <c r="Q18" s="64"/>
    </row>
    <row r="19" spans="2:17" ht="33" customHeight="1" thickBot="1" x14ac:dyDescent="0.3">
      <c r="B19" s="264" t="s">
        <v>295</v>
      </c>
      <c r="C19" s="264" t="s">
        <v>294</v>
      </c>
      <c r="D19" s="264" t="s">
        <v>293</v>
      </c>
      <c r="E19" s="264" t="s">
        <v>291</v>
      </c>
      <c r="G19" s="238" t="s">
        <v>146</v>
      </c>
      <c r="I19" s="238" t="s">
        <v>119</v>
      </c>
      <c r="J19" s="9"/>
      <c r="K19" s="233" t="str">
        <f>IF(OR(Q8,Q11)=TRUE,"","A hajózási vizsgaközpont által lebonyolított képesítő vizsga sikeres letétele vagy a jóváhagyott képzési programmal rendelkező képzőszerv által lebonyolított képesítő vizsga sikeres letétele")</f>
        <v>A hajózási vizsgaközpont által lebonyolított képesítő vizsga sikeres letétele vagy a jóváhagyott képzési programmal rendelkező képzőszerv által lebonyolított képesítő vizsga sikeres letétele</v>
      </c>
      <c r="L19" s="234"/>
      <c r="M19" s="234"/>
      <c r="N19" s="234"/>
      <c r="O19" s="234"/>
      <c r="P19" s="235"/>
      <c r="Q19" s="64"/>
    </row>
    <row r="20" spans="2:17" ht="15.75" customHeight="1" thickBot="1" x14ac:dyDescent="0.3">
      <c r="B20" s="264"/>
      <c r="C20" s="264"/>
      <c r="D20" s="264"/>
      <c r="E20" s="264"/>
      <c r="G20" s="238"/>
      <c r="I20" s="238"/>
      <c r="J20" s="9"/>
      <c r="K20" s="232" t="str">
        <f>IF($Q$5=TRUE,"vagy","")</f>
        <v/>
      </c>
      <c r="L20" s="232"/>
      <c r="M20" s="232"/>
      <c r="N20" s="232"/>
      <c r="O20" s="232"/>
      <c r="P20" s="232"/>
      <c r="Q20" s="64"/>
    </row>
    <row r="21" spans="2:17" ht="43.5" customHeight="1" x14ac:dyDescent="0.25">
      <c r="B21" s="264"/>
      <c r="C21" s="264"/>
      <c r="D21" s="264"/>
      <c r="E21" s="264"/>
      <c r="G21" s="238"/>
      <c r="I21" s="238"/>
      <c r="K21" s="247" t="str">
        <f>IF(Q5=TRUE,"Legalább 360 nap hajózási idő igazolása, 
vagy legalább 180 nap hajózási idő és legalább 250 olyan nap igazolása, amelynek során a kérelmező tengeri hajón, a fedélzeti személyzet tagjaként szerzett munkatapasztalatot","")</f>
        <v/>
      </c>
      <c r="L21" s="248"/>
      <c r="M21" s="248"/>
      <c r="N21" s="248"/>
      <c r="O21" s="248"/>
      <c r="P21" s="249"/>
      <c r="Q21" s="64"/>
    </row>
    <row r="22" spans="2:17" ht="19.5" customHeight="1" x14ac:dyDescent="0.25">
      <c r="B22" s="87" t="s">
        <v>208</v>
      </c>
      <c r="C22" s="86" t="s">
        <v>209</v>
      </c>
      <c r="D22" s="86" t="s">
        <v>209</v>
      </c>
      <c r="E22" s="86" t="s">
        <v>209</v>
      </c>
      <c r="G22" s="238"/>
      <c r="I22" s="238"/>
      <c r="K22" s="250" t="str">
        <f>IF($Q$5=TRUE,"és","")</f>
        <v/>
      </c>
      <c r="L22" s="251"/>
      <c r="M22" s="251"/>
      <c r="N22" s="251"/>
      <c r="O22" s="251"/>
      <c r="P22" s="252"/>
      <c r="Q22" s="25"/>
    </row>
    <row r="23" spans="2:17" ht="19.5" customHeight="1" x14ac:dyDescent="0.25">
      <c r="B23" s="74">
        <f>IF(OR($Q$8,$Q$11)=TRUE,"",KEZDŐLAP!$F$26)</f>
        <v>17400</v>
      </c>
      <c r="C23" s="74">
        <f>IF(OR($Q$8,$Q$11)=TRUE,"",KEZDŐLAP!$F$29)</f>
        <v>28300</v>
      </c>
      <c r="D23" s="74">
        <f>IF(OR($Q$8,$Q$11)=TRUE,"",KEZDŐLAP!$F$29)</f>
        <v>28300</v>
      </c>
      <c r="E23" s="74">
        <f>IF(OR($Q$8,$Q$11,Q13)=TRUE,"",KEZDŐLAP!$F$29)</f>
        <v>28300</v>
      </c>
      <c r="G23" s="76">
        <f>KEZDŐLAP!F32</f>
        <v>8700</v>
      </c>
      <c r="I23" s="77">
        <f>SUM(B23:E23)+G23</f>
        <v>111000</v>
      </c>
      <c r="K23" s="236" t="str">
        <f>IF($Q$5=TRUE,"A hajózási vizsgaközpont által lebonyolított képesítő vizsga sikeres letétele vagy a jóváhagyott képzési programmal rendelkező képzőszerv által lebonyolított képesítő vizsga sikeres letétele","")</f>
        <v/>
      </c>
      <c r="L23" s="149"/>
      <c r="M23" s="149"/>
      <c r="N23" s="149"/>
      <c r="O23" s="149"/>
      <c r="P23" s="237"/>
    </row>
    <row r="24" spans="2:17" ht="19.5" customHeight="1" thickBot="1" x14ac:dyDescent="0.3">
      <c r="K24" s="233"/>
      <c r="L24" s="234"/>
      <c r="M24" s="234"/>
      <c r="N24" s="234"/>
      <c r="O24" s="234"/>
      <c r="P24" s="235"/>
    </row>
    <row r="25" spans="2:17" ht="15" customHeight="1" thickBot="1" x14ac:dyDescent="0.3">
      <c r="K25" s="232" t="str">
        <f>IF(AND(Q11=TRUE,Q8=FALSE),"a nem UNIÓs matróz képesítés birtokában vizsga nélkül az alábbiak figyelembevételével:","")</f>
        <v/>
      </c>
      <c r="L25" s="232"/>
      <c r="M25" s="232"/>
      <c r="N25" s="232"/>
      <c r="O25" s="232"/>
      <c r="P25" s="232"/>
    </row>
    <row r="26" spans="2:17" ht="32.25" customHeight="1" x14ac:dyDescent="0.25">
      <c r="J26" s="17"/>
      <c r="K26" s="244" t="str">
        <f>IF(AND($Q$11=TRUE,Q8=FALSE),"Az előírt hajózási idő helyett legfeljebb 360 nap hajózási idővel kevesebb idő elegendő, ha a kérelmező a hajózási hatóság által elismert, egy gyakorlati navigációs munkát is magában foglaló speciális belvízi hajózási képzés sikeres elvégzését igazolja","")</f>
        <v/>
      </c>
      <c r="L26" s="245"/>
      <c r="M26" s="245"/>
      <c r="N26" s="245"/>
      <c r="O26" s="245"/>
      <c r="P26" s="246"/>
      <c r="Q26" s="17"/>
    </row>
    <row r="27" spans="2:17" ht="37.5" customHeight="1" x14ac:dyDescent="0.25">
      <c r="J27" s="17"/>
      <c r="K27" s="239"/>
      <c r="L27" s="171"/>
      <c r="M27" s="171"/>
      <c r="N27" s="171"/>
      <c r="O27" s="171"/>
      <c r="P27" s="240"/>
      <c r="Q27" s="17"/>
    </row>
    <row r="28" spans="2:17" ht="23.25" customHeight="1" x14ac:dyDescent="0.25">
      <c r="J28" s="17"/>
      <c r="K28" s="239"/>
      <c r="L28" s="171"/>
      <c r="M28" s="171"/>
      <c r="N28" s="171"/>
      <c r="O28" s="171"/>
      <c r="P28" s="240"/>
      <c r="Q28" s="17"/>
    </row>
    <row r="29" spans="2:17" ht="15.75" customHeight="1" x14ac:dyDescent="0.25">
      <c r="K29" s="239" t="str">
        <f>IF(AND($Q$11=TRUE,Q8=FALSE),"Az elfogadható kevesebb idő mértéke legfeljebb a speciális képzés időtartamának megfelelő lehet. A 2022. április 19. napja előtt megkezdett gyakorlatszerzésre fordított időt el kell fogadni.","")</f>
        <v/>
      </c>
      <c r="L29" s="171"/>
      <c r="M29" s="171"/>
      <c r="N29" s="171"/>
      <c r="O29" s="171"/>
      <c r="P29" s="240"/>
      <c r="Q29" s="17"/>
    </row>
    <row r="30" spans="2:17" ht="15.75" customHeight="1" x14ac:dyDescent="0.25">
      <c r="J30" s="17"/>
      <c r="K30" s="239"/>
      <c r="L30" s="171"/>
      <c r="M30" s="171"/>
      <c r="N30" s="171"/>
      <c r="O30" s="171"/>
      <c r="P30" s="240"/>
      <c r="Q30" s="17"/>
    </row>
    <row r="31" spans="2:17" ht="15.75" customHeight="1" thickBot="1" x14ac:dyDescent="0.3">
      <c r="J31" s="17"/>
      <c r="K31" s="241"/>
      <c r="L31" s="242"/>
      <c r="M31" s="242"/>
      <c r="N31" s="242"/>
      <c r="O31" s="242"/>
      <c r="P31" s="243"/>
      <c r="Q31" s="17"/>
    </row>
    <row r="32" spans="2:17" x14ac:dyDescent="0.25">
      <c r="J32" s="17"/>
      <c r="K32" s="17"/>
      <c r="L32" s="17"/>
      <c r="M32" s="17"/>
      <c r="N32" s="17"/>
      <c r="O32" s="17"/>
      <c r="P32" s="17"/>
      <c r="Q32" s="17"/>
    </row>
  </sheetData>
  <sheetProtection sheet="1" selectLockedCells="1"/>
  <protectedRanges>
    <protectedRange password="EFFA" sqref="M29:O29 J2:Q2 L11:L19 K6 K11 J26 I23 M28:P28 K8:K9 Q3:Q22 K19 N3:P4 K3:K4 N1:P1 B1:L1 J30 N11:N12 K22:K23 L20:P20 N21:P24 L23:M24 L3:L9 M15:M18 N7:P10 K10:L10 N14:N19 M13 O11:P19 L25:P25 M32:O32 K29 K26:Q27 Q29:Q31 I21 A23:A25 J3:J24 B3:I17" name="Tartomány1"/>
    <protectedRange password="EFFA" sqref="K12 K15:K18 K20:K21 K7 K24:K25" name="Tartomány1_2"/>
    <protectedRange password="EFFA" sqref="K5 N5:P5" name="Tartomány1_1"/>
    <protectedRange password="EFFA" sqref="A1" name="Tartomány1_3"/>
    <protectedRange password="EFFA" sqref="I19" name="Tartomány1_6"/>
    <protectedRange password="EFFA" sqref="B2:I2" name="Tartomány1_7"/>
    <protectedRange password="EFFA" sqref="G23" name="Tartomány1_5"/>
  </protectedRanges>
  <mergeCells count="35">
    <mergeCell ref="B3:I3"/>
    <mergeCell ref="B1:I1"/>
    <mergeCell ref="B2:I2"/>
    <mergeCell ref="O11:P15"/>
    <mergeCell ref="K11:L15"/>
    <mergeCell ref="K1:P1"/>
    <mergeCell ref="K8:P8"/>
    <mergeCell ref="K9:P9"/>
    <mergeCell ref="B14:I16"/>
    <mergeCell ref="K16:P16"/>
    <mergeCell ref="K3:P3"/>
    <mergeCell ref="K4:P4"/>
    <mergeCell ref="K5:P5"/>
    <mergeCell ref="K6:P7"/>
    <mergeCell ref="M13:N13"/>
    <mergeCell ref="K10:P10"/>
    <mergeCell ref="K29:P31"/>
    <mergeCell ref="K25:P25"/>
    <mergeCell ref="K26:P28"/>
    <mergeCell ref="K21:P21"/>
    <mergeCell ref="K22:P22"/>
    <mergeCell ref="K23:P24"/>
    <mergeCell ref="B4:I4"/>
    <mergeCell ref="B17:I17"/>
    <mergeCell ref="K20:P20"/>
    <mergeCell ref="K19:P19"/>
    <mergeCell ref="K18:P18"/>
    <mergeCell ref="K17:P17"/>
    <mergeCell ref="G19:G22"/>
    <mergeCell ref="I19:I22"/>
    <mergeCell ref="C18:E18"/>
    <mergeCell ref="D19:D21"/>
    <mergeCell ref="E19:E21"/>
    <mergeCell ref="B19:B21"/>
    <mergeCell ref="C19:C21"/>
  </mergeCells>
  <hyperlinks>
    <hyperlink ref="A1" location="KEZDŐLAP!A1" display="X" xr:uid="{B1B3E842-2810-4A36-94CD-8BFAF46B4EC6}"/>
  </hyperlinks>
  <pageMargins left="0.7" right="0.7" top="0.75" bottom="0.75" header="0.3" footer="0.3"/>
  <pageSetup paperSize="9"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9809" r:id="rId4" name="Check Box 1">
              <controlPr defaultSize="0" autoFill="0" autoLine="0" autoPict="0">
                <anchor moveWithCells="1">
                  <from>
                    <xdr:col>1</xdr:col>
                    <xdr:colOff>114300</xdr:colOff>
                    <xdr:row>3</xdr:row>
                    <xdr:rowOff>171450</xdr:rowOff>
                  </from>
                  <to>
                    <xdr:col>6</xdr:col>
                    <xdr:colOff>904875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0" r:id="rId5" name="Check Box 2">
              <controlPr defaultSize="0" autoFill="0" autoLine="0" autoPict="0">
                <anchor moveWithCells="1">
                  <from>
                    <xdr:col>1</xdr:col>
                    <xdr:colOff>114300</xdr:colOff>
                    <xdr:row>4</xdr:row>
                    <xdr:rowOff>180975</xdr:rowOff>
                  </from>
                  <to>
                    <xdr:col>8</xdr:col>
                    <xdr:colOff>295275</xdr:colOff>
                    <xdr:row>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2" r:id="rId6" name="Check Box 4">
              <controlPr defaultSize="0" autoFill="0" autoLine="0" autoPict="0">
                <anchor moveWithCells="1">
                  <from>
                    <xdr:col>1</xdr:col>
                    <xdr:colOff>114300</xdr:colOff>
                    <xdr:row>6</xdr:row>
                    <xdr:rowOff>9525</xdr:rowOff>
                  </from>
                  <to>
                    <xdr:col>8</xdr:col>
                    <xdr:colOff>571500</xdr:colOff>
                    <xdr:row>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3" r:id="rId7" name="Check Box 5">
              <controlPr defaultSize="0" autoFill="0" autoLine="0" autoPict="0">
                <anchor moveWithCells="1">
                  <from>
                    <xdr:col>1</xdr:col>
                    <xdr:colOff>114300</xdr:colOff>
                    <xdr:row>7</xdr:row>
                    <xdr:rowOff>9525</xdr:rowOff>
                  </from>
                  <to>
                    <xdr:col>8</xdr:col>
                    <xdr:colOff>295275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5" r:id="rId8" name="Check Box 7">
              <controlPr defaultSize="0" autoFill="0" autoLine="0" autoPict="0">
                <anchor moveWithCells="1">
                  <from>
                    <xdr:col>1</xdr:col>
                    <xdr:colOff>123825</xdr:colOff>
                    <xdr:row>8</xdr:row>
                    <xdr:rowOff>76200</xdr:rowOff>
                  </from>
                  <to>
                    <xdr:col>8</xdr:col>
                    <xdr:colOff>847725</xdr:colOff>
                    <xdr:row>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8" r:id="rId9" name="Check Box 10">
              <controlPr defaultSize="0" autoFill="0" autoLine="0" autoPict="0">
                <anchor moveWithCells="1">
                  <from>
                    <xdr:col>1</xdr:col>
                    <xdr:colOff>304800</xdr:colOff>
                    <xdr:row>10</xdr:row>
                    <xdr:rowOff>200025</xdr:rowOff>
                  </from>
                  <to>
                    <xdr:col>8</xdr:col>
                    <xdr:colOff>571500</xdr:colOff>
                    <xdr:row>11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4A56B-A3B1-4695-8D59-B27E96BEF80E}">
  <sheetPr>
    <tabColor rgb="FFFFC000"/>
  </sheetPr>
  <dimension ref="A1:Q37"/>
  <sheetViews>
    <sheetView workbookViewId="0"/>
  </sheetViews>
  <sheetFormatPr defaultRowHeight="15" x14ac:dyDescent="0.25"/>
  <cols>
    <col min="1" max="1" width="3.42578125" customWidth="1"/>
    <col min="2" max="9" width="13.7109375" customWidth="1"/>
    <col min="10" max="10" width="3.5703125" customWidth="1"/>
    <col min="11" max="12" width="19.28515625" customWidth="1"/>
    <col min="13" max="14" width="8.5703125" customWidth="1"/>
    <col min="15" max="16" width="19.28515625" customWidth="1"/>
    <col min="17" max="17" width="3.42578125" customWidth="1"/>
  </cols>
  <sheetData>
    <row r="1" spans="1:17" x14ac:dyDescent="0.25">
      <c r="A1" s="26" t="s">
        <v>43</v>
      </c>
      <c r="B1" s="147" t="s">
        <v>156</v>
      </c>
      <c r="C1" s="147"/>
      <c r="D1" s="147"/>
      <c r="E1" s="147"/>
      <c r="F1" s="147"/>
      <c r="G1" s="147"/>
      <c r="H1" s="147"/>
      <c r="I1" s="147"/>
      <c r="K1" s="147" t="s">
        <v>157</v>
      </c>
      <c r="L1" s="147"/>
      <c r="M1" s="147"/>
      <c r="N1" s="147"/>
      <c r="O1" s="147"/>
      <c r="P1" s="147"/>
    </row>
    <row r="2" spans="1:17" ht="6" customHeight="1" x14ac:dyDescent="0.25">
      <c r="B2" s="196"/>
      <c r="C2" s="196"/>
      <c r="D2" s="196"/>
      <c r="E2" s="196"/>
      <c r="F2" s="196"/>
      <c r="G2" s="196"/>
      <c r="H2" s="196"/>
      <c r="I2" s="196"/>
      <c r="K2" s="1"/>
      <c r="Q2" s="24"/>
    </row>
    <row r="3" spans="1:17" ht="17.25" customHeight="1" x14ac:dyDescent="0.25">
      <c r="B3" s="176" t="s">
        <v>153</v>
      </c>
      <c r="C3" s="176"/>
      <c r="D3" s="176"/>
      <c r="E3" s="176"/>
      <c r="F3" s="176"/>
      <c r="G3" s="176"/>
      <c r="H3" s="176"/>
      <c r="I3" s="176"/>
      <c r="K3" s="178" t="s">
        <v>155</v>
      </c>
      <c r="L3" s="178"/>
      <c r="M3" s="178"/>
      <c r="N3" s="178"/>
      <c r="O3" s="178"/>
      <c r="P3" s="178"/>
      <c r="Q3" s="64"/>
    </row>
    <row r="4" spans="1:17" ht="17.25" customHeight="1" x14ac:dyDescent="0.25">
      <c r="B4" s="20"/>
      <c r="C4" s="20"/>
      <c r="D4" s="20"/>
      <c r="E4" s="20"/>
      <c r="F4" s="20"/>
      <c r="G4" s="20"/>
      <c r="H4" s="20"/>
      <c r="I4" s="20"/>
      <c r="K4" s="178" t="s">
        <v>286</v>
      </c>
      <c r="L4" s="178"/>
      <c r="M4" s="178"/>
      <c r="N4" s="178"/>
      <c r="O4" s="178"/>
      <c r="P4" s="178"/>
      <c r="Q4" s="64"/>
    </row>
    <row r="5" spans="1:17" ht="17.25" customHeight="1" x14ac:dyDescent="0.25">
      <c r="B5" s="8"/>
      <c r="C5" s="8"/>
      <c r="D5" s="8"/>
      <c r="E5" s="8"/>
      <c r="F5" s="8"/>
      <c r="G5" s="8"/>
      <c r="H5" s="8"/>
      <c r="I5" s="8"/>
      <c r="K5" s="178" t="s">
        <v>129</v>
      </c>
      <c r="L5" s="178"/>
      <c r="M5" s="178"/>
      <c r="N5" s="178"/>
      <c r="O5" s="178"/>
      <c r="P5" s="178"/>
      <c r="Q5" s="64" t="b">
        <v>0</v>
      </c>
    </row>
    <row r="6" spans="1:17" ht="17.25" customHeight="1" x14ac:dyDescent="0.25">
      <c r="B6" s="8"/>
      <c r="C6" s="8"/>
      <c r="D6" s="8"/>
      <c r="E6" s="8"/>
      <c r="F6" s="8"/>
      <c r="G6" s="8"/>
      <c r="H6" s="8"/>
      <c r="I6" s="8"/>
      <c r="K6" s="175" t="s">
        <v>131</v>
      </c>
      <c r="L6" s="175"/>
      <c r="M6" s="175"/>
      <c r="N6" s="175"/>
      <c r="O6" s="175"/>
      <c r="P6" s="175"/>
      <c r="Q6" s="64" t="b">
        <v>0</v>
      </c>
    </row>
    <row r="7" spans="1:17" ht="17.25" customHeight="1" x14ac:dyDescent="0.25">
      <c r="B7" s="8"/>
      <c r="C7" s="8"/>
      <c r="D7" s="8"/>
      <c r="E7" s="8"/>
      <c r="F7" s="8"/>
      <c r="G7" s="8"/>
      <c r="H7" s="8"/>
      <c r="I7" s="8"/>
      <c r="K7" s="175"/>
      <c r="L7" s="175"/>
      <c r="M7" s="175"/>
      <c r="N7" s="175"/>
      <c r="O7" s="175"/>
      <c r="P7" s="175"/>
      <c r="Q7" s="64"/>
    </row>
    <row r="8" spans="1:17" ht="17.25" customHeight="1" x14ac:dyDescent="0.25">
      <c r="B8" s="8"/>
      <c r="C8" s="8"/>
      <c r="D8" s="8"/>
      <c r="E8" s="8"/>
      <c r="F8" s="8"/>
      <c r="G8" s="8"/>
      <c r="H8" s="8"/>
      <c r="I8" s="8"/>
      <c r="K8" s="175" t="s">
        <v>110</v>
      </c>
      <c r="L8" s="175"/>
      <c r="M8" s="175"/>
      <c r="N8" s="175"/>
      <c r="O8" s="175"/>
      <c r="P8" s="175"/>
      <c r="Q8" s="64" t="b">
        <v>0</v>
      </c>
    </row>
    <row r="9" spans="1:17" ht="17.25" customHeight="1" x14ac:dyDescent="0.25">
      <c r="B9" s="8"/>
      <c r="C9" s="8"/>
      <c r="D9" s="8"/>
      <c r="E9" s="8"/>
      <c r="F9" s="8"/>
      <c r="G9" s="8"/>
      <c r="H9" s="8"/>
      <c r="I9" s="8"/>
      <c r="K9" s="175"/>
      <c r="L9" s="175"/>
      <c r="M9" s="175"/>
      <c r="N9" s="175"/>
      <c r="O9" s="175"/>
      <c r="P9" s="175"/>
      <c r="Q9" s="64"/>
    </row>
    <row r="10" spans="1:17" ht="17.25" customHeight="1" thickBot="1" x14ac:dyDescent="0.3">
      <c r="B10" s="8"/>
      <c r="C10" s="8"/>
      <c r="D10" s="8"/>
      <c r="E10" s="8"/>
      <c r="F10" s="8"/>
      <c r="G10" s="8"/>
      <c r="H10" s="8"/>
      <c r="I10" s="8"/>
      <c r="K10" s="266" t="str">
        <f>IF(OR(Q8,Q6)=TRUE,"","továbbá")</f>
        <v>továbbá</v>
      </c>
      <c r="L10" s="266"/>
      <c r="M10" s="266"/>
      <c r="N10" s="266"/>
      <c r="O10" s="266"/>
      <c r="P10" s="266"/>
      <c r="Q10" s="64"/>
    </row>
    <row r="11" spans="1:17" ht="15" customHeight="1" x14ac:dyDescent="0.25">
      <c r="B11" s="8"/>
      <c r="C11" s="8"/>
      <c r="D11" s="8"/>
      <c r="E11" s="8"/>
      <c r="F11" s="8"/>
      <c r="G11" s="8"/>
      <c r="H11" s="8"/>
      <c r="I11" s="8"/>
      <c r="K11" s="247" t="str">
        <f>IF(OR(Q8,Q6)=TRUE,"",IF(Q5=TRUE,"","Legalább három év időtartamú, az üzemeltetési szintű feladatok tekintetében a kompetenciákra vonatkozóan  meghatározott követelményeken alapuló, jóváhagyott képzési program elvégzése"))</f>
        <v>Legalább három év időtartamú, az üzemeltetési szintű feladatok tekintetében a kompetenciákra vonatkozóan  meghatározott követelményeken alapuló, jóváhagyott képzési program elvégzése</v>
      </c>
      <c r="L11" s="248"/>
      <c r="M11" s="248"/>
      <c r="N11" s="248"/>
      <c r="O11" s="248"/>
      <c r="P11" s="249"/>
      <c r="Q11" s="64"/>
    </row>
    <row r="12" spans="1:17" ht="15" customHeight="1" x14ac:dyDescent="0.25">
      <c r="B12" s="258" t="s">
        <v>210</v>
      </c>
      <c r="C12" s="258"/>
      <c r="D12" s="258"/>
      <c r="E12" s="258"/>
      <c r="F12" s="258"/>
      <c r="G12" s="258"/>
      <c r="H12" s="258"/>
      <c r="I12" s="258"/>
      <c r="K12" s="236"/>
      <c r="L12" s="149"/>
      <c r="M12" s="149"/>
      <c r="N12" s="149"/>
      <c r="O12" s="149"/>
      <c r="P12" s="237"/>
      <c r="Q12" s="64" t="b">
        <v>0</v>
      </c>
    </row>
    <row r="13" spans="1:17" ht="15" customHeight="1" x14ac:dyDescent="0.25">
      <c r="B13" s="258"/>
      <c r="C13" s="258"/>
      <c r="D13" s="258"/>
      <c r="E13" s="258"/>
      <c r="F13" s="258"/>
      <c r="G13" s="258"/>
      <c r="H13" s="258"/>
      <c r="I13" s="258"/>
      <c r="J13" s="9"/>
      <c r="K13" s="236"/>
      <c r="L13" s="149"/>
      <c r="M13" s="149"/>
      <c r="N13" s="149"/>
      <c r="O13" s="149"/>
      <c r="P13" s="237"/>
      <c r="Q13" s="64" t="b">
        <v>0</v>
      </c>
    </row>
    <row r="14" spans="1:17" ht="15" customHeight="1" x14ac:dyDescent="0.25">
      <c r="B14" s="258"/>
      <c r="C14" s="258"/>
      <c r="D14" s="258"/>
      <c r="E14" s="258"/>
      <c r="F14" s="258"/>
      <c r="G14" s="258"/>
      <c r="H14" s="258"/>
      <c r="I14" s="258"/>
      <c r="J14" s="9"/>
      <c r="K14" s="236"/>
      <c r="L14" s="149"/>
      <c r="M14" s="149"/>
      <c r="N14" s="149"/>
      <c r="O14" s="149"/>
      <c r="P14" s="237"/>
      <c r="Q14" s="64" t="b">
        <v>0</v>
      </c>
    </row>
    <row r="15" spans="1:17" ht="15" customHeight="1" x14ac:dyDescent="0.25">
      <c r="B15" s="258"/>
      <c r="C15" s="258"/>
      <c r="D15" s="258"/>
      <c r="E15" s="258"/>
      <c r="F15" s="258"/>
      <c r="G15" s="258"/>
      <c r="H15" s="258"/>
      <c r="I15" s="258"/>
      <c r="J15" s="9"/>
      <c r="K15" s="236"/>
      <c r="L15" s="149"/>
      <c r="M15" s="149"/>
      <c r="N15" s="149"/>
      <c r="O15" s="149"/>
      <c r="P15" s="237"/>
      <c r="Q15" s="64"/>
    </row>
    <row r="16" spans="1:17" ht="48" customHeight="1" x14ac:dyDescent="0.25">
      <c r="B16" s="231" t="s">
        <v>215</v>
      </c>
      <c r="C16" s="231"/>
      <c r="D16" s="231"/>
      <c r="E16" s="231"/>
      <c r="F16" s="231"/>
      <c r="G16" s="231"/>
      <c r="H16" s="231"/>
      <c r="I16" s="231"/>
      <c r="J16" s="9"/>
      <c r="K16" s="236" t="str">
        <f>IF(OR(Q8,Q6)=TRUE,"",IF($Q$5=TRUE,"Legalább 180 nap hajózási idő teljesítése matrózként töltött szolgálat végzéséhez szükséges képesítés birtokában","és"))</f>
        <v>és</v>
      </c>
      <c r="L16" s="149"/>
      <c r="M16" s="149"/>
      <c r="N16" s="149"/>
      <c r="O16" s="149"/>
      <c r="P16" s="237"/>
      <c r="Q16" s="64"/>
    </row>
    <row r="17" spans="2:17" ht="22.5" customHeight="1" x14ac:dyDescent="0.25">
      <c r="B17" s="44" t="s">
        <v>193</v>
      </c>
      <c r="C17" s="227" t="s">
        <v>59</v>
      </c>
      <c r="D17" s="227"/>
      <c r="E17" s="227"/>
      <c r="F17" s="34"/>
      <c r="G17" s="34"/>
      <c r="H17" s="34"/>
      <c r="I17" s="34"/>
      <c r="J17" s="9"/>
      <c r="K17" s="236" t="str">
        <f>IF(OR(Q8,Q6)=TRUE,"",IF(Q5=TRUE,"","Legalább 270 nap hajózási idő teljesítése"))</f>
        <v>Legalább 270 nap hajózási idő teljesítése</v>
      </c>
      <c r="L17" s="149"/>
      <c r="M17" s="149"/>
      <c r="N17" s="149"/>
      <c r="O17" s="149"/>
      <c r="P17" s="237"/>
      <c r="Q17" s="64"/>
    </row>
    <row r="18" spans="2:17" ht="33" customHeight="1" x14ac:dyDescent="0.25">
      <c r="B18" s="264" t="s">
        <v>295</v>
      </c>
      <c r="C18" s="264" t="s">
        <v>294</v>
      </c>
      <c r="D18" s="264" t="s">
        <v>293</v>
      </c>
      <c r="E18" s="264" t="s">
        <v>291</v>
      </c>
      <c r="G18" s="238" t="s">
        <v>146</v>
      </c>
      <c r="I18" s="238" t="s">
        <v>119</v>
      </c>
      <c r="J18" s="9"/>
      <c r="K18" s="236" t="str">
        <f>IF(OR(Q8,Q6)=TRUE,"",IF($Q$5=TRUE,"","és"))</f>
        <v>és</v>
      </c>
      <c r="L18" s="149"/>
      <c r="M18" s="149"/>
      <c r="N18" s="149"/>
      <c r="O18" s="149"/>
      <c r="P18" s="237"/>
      <c r="Q18" s="64"/>
    </row>
    <row r="19" spans="2:17" ht="44.25" customHeight="1" thickBot="1" x14ac:dyDescent="0.3">
      <c r="B19" s="264"/>
      <c r="C19" s="264"/>
      <c r="D19" s="264"/>
      <c r="E19" s="264"/>
      <c r="G19" s="238"/>
      <c r="I19" s="238"/>
      <c r="J19" s="9"/>
      <c r="K19" s="233" t="str">
        <f>IF(OR(Q8,Q6)=TRUE,"",IF(Q5=TRUE,"","A hajózási vizsgaközpont által vagy a jóváhagyott képzési programmal rendelkező képzőszerv által lebonyolított képesítő vizsga sikeres letétele az üzemeltetési szinthez tartozó kompetenciák meglétének ellenőrzésére."))</f>
        <v>A hajózási vizsgaközpont által vagy a jóváhagyott képzési programmal rendelkező képzőszerv által lebonyolított képesítő vizsga sikeres letétele az üzemeltetési szinthez tartozó kompetenciák meglétének ellenőrzésére.</v>
      </c>
      <c r="L19" s="234"/>
      <c r="M19" s="234"/>
      <c r="N19" s="234"/>
      <c r="O19" s="234"/>
      <c r="P19" s="235"/>
      <c r="Q19" s="64"/>
    </row>
    <row r="20" spans="2:17" ht="18" customHeight="1" thickBot="1" x14ac:dyDescent="0.3">
      <c r="B20" s="264"/>
      <c r="C20" s="264"/>
      <c r="D20" s="264"/>
      <c r="E20" s="264"/>
      <c r="G20" s="238"/>
      <c r="I20" s="238"/>
      <c r="J20" s="9"/>
      <c r="K20" s="265" t="str">
        <f>IF(Q8=TRUE,"",IF(AND(Q6=TRUE,Q5=FALSE),"a nem UNIÓs képesített matróz képesítés birtokában vizsga nélkül az alábbiak figyelembevételével:",""))</f>
        <v/>
      </c>
      <c r="L20" s="265"/>
      <c r="M20" s="265"/>
      <c r="N20" s="265"/>
      <c r="O20" s="265"/>
      <c r="P20" s="265"/>
      <c r="Q20" s="25"/>
    </row>
    <row r="21" spans="2:17" ht="15" customHeight="1" x14ac:dyDescent="0.25">
      <c r="B21" s="87" t="s">
        <v>208</v>
      </c>
      <c r="C21" s="86" t="s">
        <v>209</v>
      </c>
      <c r="D21" s="86" t="s">
        <v>209</v>
      </c>
      <c r="E21" s="86" t="s">
        <v>209</v>
      </c>
      <c r="G21" s="238"/>
      <c r="I21" s="238"/>
      <c r="K21" s="244" t="str">
        <f>IF(Q8=TRUE,"",IF(AND($Q$6=TRUE,Q5=FALSE),"Az előírt hajózási idő helyett legfeljebb 360 nap hajózási idővel kevesebb idő elegendő, ha a kérelmező a hajózási hatóság által elismert, egy gyakorlati navigációs munkát is magában foglaló speciális belvízi hajózási képzés sikeres elvégzését igazolja",""))</f>
        <v/>
      </c>
      <c r="L21" s="245"/>
      <c r="M21" s="245"/>
      <c r="N21" s="245"/>
      <c r="O21" s="245"/>
      <c r="P21" s="246"/>
      <c r="Q21" s="25"/>
    </row>
    <row r="22" spans="2:17" ht="15" customHeight="1" x14ac:dyDescent="0.25">
      <c r="B22" s="74">
        <f>IF(OR(Q5,Q6)=TRUE,"",KEZDŐLAP!$F$26)</f>
        <v>17400</v>
      </c>
      <c r="C22" s="74">
        <f>IF(OR(Q5,Q6)=TRUE,"",KEZDŐLAP!$F$29)</f>
        <v>28300</v>
      </c>
      <c r="D22" s="74">
        <f>IF(OR(Q5,Q6)=TRUE,"",KEZDŐLAP!$F$29)</f>
        <v>28300</v>
      </c>
      <c r="E22" s="74">
        <f>IF(OR($Q$5,Q6,$Q$13)=TRUE,"",KEZDŐLAP!$F$29)</f>
        <v>28300</v>
      </c>
      <c r="G22" s="76">
        <f>KEZDŐLAP!F32</f>
        <v>8700</v>
      </c>
      <c r="I22" s="77">
        <f>SUM(B22:E22)+G22</f>
        <v>111000</v>
      </c>
      <c r="K22" s="239"/>
      <c r="L22" s="171"/>
      <c r="M22" s="171"/>
      <c r="N22" s="171"/>
      <c r="O22" s="171"/>
      <c r="P22" s="240"/>
      <c r="Q22" s="25"/>
    </row>
    <row r="23" spans="2:17" ht="15" customHeight="1" x14ac:dyDescent="0.25">
      <c r="K23" s="239"/>
      <c r="L23" s="171"/>
      <c r="M23" s="171"/>
      <c r="N23" s="171"/>
      <c r="O23" s="171"/>
      <c r="P23" s="240"/>
    </row>
    <row r="24" spans="2:17" ht="15" customHeight="1" x14ac:dyDescent="0.25">
      <c r="K24" s="239" t="str">
        <f>IF(Q8=TRUE,"",IF(AND($Q$6=TRUE,Q5=FALSE),"Az elfogadható kevesebb idő mértéke legfeljebb a speciális képzés időtartamának megfelelő lehet. A 2022. április 19. napja előtt megkezdett gyakorlatszerzésre fordított időt el kell fogadni.",""))</f>
        <v/>
      </c>
      <c r="L24" s="171"/>
      <c r="M24" s="171"/>
      <c r="N24" s="171"/>
      <c r="O24" s="171"/>
      <c r="P24" s="240"/>
    </row>
    <row r="25" spans="2:17" ht="15" customHeight="1" thickBot="1" x14ac:dyDescent="0.3">
      <c r="K25" s="241"/>
      <c r="L25" s="242"/>
      <c r="M25" s="242"/>
      <c r="N25" s="242"/>
      <c r="O25" s="242"/>
      <c r="P25" s="243"/>
    </row>
    <row r="26" spans="2:17" s="2" customFormat="1" ht="45" customHeight="1" x14ac:dyDescent="0.25">
      <c r="B26"/>
      <c r="C26"/>
      <c r="D26"/>
      <c r="E26"/>
      <c r="F26"/>
      <c r="G26"/>
      <c r="H26"/>
      <c r="I26"/>
      <c r="K26"/>
      <c r="L26"/>
      <c r="M26"/>
      <c r="N26"/>
      <c r="O26"/>
      <c r="P26"/>
    </row>
    <row r="27" spans="2:17" s="2" customFormat="1" ht="15.75" customHeight="1" x14ac:dyDescent="0.25">
      <c r="B27"/>
      <c r="C27"/>
      <c r="D27"/>
      <c r="E27"/>
      <c r="F27"/>
      <c r="G27"/>
      <c r="H27"/>
      <c r="I27"/>
      <c r="K27" s="75"/>
      <c r="L27" s="75"/>
      <c r="M27" s="75"/>
      <c r="N27" s="75"/>
      <c r="O27" s="75"/>
      <c r="P27" s="75"/>
    </row>
    <row r="28" spans="2:17" s="1" customFormat="1" x14ac:dyDescent="0.25">
      <c r="B28"/>
      <c r="C28"/>
      <c r="D28"/>
      <c r="E28"/>
      <c r="F28"/>
      <c r="G28"/>
      <c r="H28"/>
      <c r="I28"/>
      <c r="J28" s="2"/>
      <c r="K28"/>
      <c r="L28"/>
      <c r="M28" s="196"/>
      <c r="N28" s="196"/>
      <c r="O28" s="196"/>
      <c r="P28" s="196"/>
    </row>
    <row r="29" spans="2:17" x14ac:dyDescent="0.25">
      <c r="K29" s="2"/>
      <c r="L29" s="2"/>
      <c r="M29" s="72"/>
      <c r="N29" s="72"/>
      <c r="O29" s="72"/>
      <c r="P29" s="72"/>
    </row>
    <row r="30" spans="2:17" x14ac:dyDescent="0.25">
      <c r="K30" s="17"/>
      <c r="L30" s="17"/>
      <c r="M30" s="2"/>
      <c r="N30" s="2"/>
      <c r="O30" s="2"/>
      <c r="P30" s="2"/>
    </row>
    <row r="31" spans="2:17" x14ac:dyDescent="0.25">
      <c r="K31" s="17"/>
      <c r="L31" s="17"/>
      <c r="M31" s="72"/>
      <c r="N31" s="72"/>
      <c r="O31" s="72"/>
      <c r="P31" s="72"/>
    </row>
    <row r="32" spans="2:17" x14ac:dyDescent="0.25">
      <c r="K32" s="17"/>
      <c r="L32" s="17"/>
      <c r="M32" s="72"/>
      <c r="N32" s="72"/>
      <c r="O32" s="72"/>
      <c r="P32" s="72"/>
    </row>
    <row r="33" spans="12:16" x14ac:dyDescent="0.25">
      <c r="L33" s="17"/>
      <c r="M33" s="72"/>
      <c r="N33" s="72"/>
      <c r="O33" s="72"/>
      <c r="P33" s="72"/>
    </row>
    <row r="34" spans="12:16" x14ac:dyDescent="0.25">
      <c r="L34" s="17"/>
      <c r="M34" s="17"/>
      <c r="N34" s="17"/>
      <c r="O34" s="17"/>
      <c r="P34" s="17"/>
    </row>
    <row r="35" spans="12:16" x14ac:dyDescent="0.25">
      <c r="L35" s="17"/>
      <c r="M35" s="17"/>
      <c r="N35" s="17"/>
      <c r="O35" s="17"/>
      <c r="P35" s="17"/>
    </row>
    <row r="36" spans="12:16" x14ac:dyDescent="0.25">
      <c r="L36" s="17"/>
      <c r="M36" s="17"/>
      <c r="N36" s="17"/>
      <c r="O36" s="17"/>
      <c r="P36" s="17"/>
    </row>
    <row r="37" spans="12:16" x14ac:dyDescent="0.25">
      <c r="L37" s="17"/>
      <c r="M37" s="17"/>
      <c r="N37" s="17"/>
      <c r="O37" s="17"/>
      <c r="P37" s="17"/>
    </row>
  </sheetData>
  <sheetProtection sheet="1" selectLockedCells="1"/>
  <protectedRanges>
    <protectedRange password="EFFA" sqref="J2:Q2 A23:A28 J3:J21 L11:L15 K6 K11 M28:O28 J27:J28 K8:K9 Q3:Q22 K19 N3:P4 K3:K4 N1:P1 B1:L1 B3:I16 J22:K23 L20:P20 N21:P24 L23:M24 K27:L27 N27:P27 J24 L3:L9 M15 N7:P10 K10:L10 N14:N15 M13 O11:P15 N11:N12 L17:L19 M17:M18 N17:P19 L16:P16" name="Tartomány1"/>
    <protectedRange password="EFFA" sqref="K12 K20:K21 K7 K24 K15:K18" name="Tartomány1_2"/>
    <protectedRange password="EFFA" sqref="K5 N5:P5" name="Tartomány1_1"/>
    <protectedRange password="EFFA" sqref="A1" name="Tartomány1_3"/>
    <protectedRange password="EFFA" sqref="K31:N31 K30:L30" name="Tartomány1_2_1"/>
    <protectedRange password="EFFA" sqref="B2:I2" name="Tartomány1_7"/>
    <protectedRange password="EFFA" sqref="M29:N29" name="Tartomány1_2_1_1"/>
    <protectedRange password="EFFA" sqref="I22 I20" name="Tartomány1_6"/>
    <protectedRange password="EFFA" sqref="I18" name="Tartomány1_6_2"/>
    <protectedRange password="EFFA" sqref="G22" name="Tartomány1_5_1"/>
  </protectedRanges>
  <mergeCells count="29">
    <mergeCell ref="K4:P4"/>
    <mergeCell ref="B1:I1"/>
    <mergeCell ref="K1:P1"/>
    <mergeCell ref="B2:I2"/>
    <mergeCell ref="B3:I3"/>
    <mergeCell ref="K3:P3"/>
    <mergeCell ref="K5:P5"/>
    <mergeCell ref="K6:P7"/>
    <mergeCell ref="K8:P8"/>
    <mergeCell ref="K9:P9"/>
    <mergeCell ref="K10:P10"/>
    <mergeCell ref="M28:P28"/>
    <mergeCell ref="K11:P15"/>
    <mergeCell ref="K21:P23"/>
    <mergeCell ref="K24:P25"/>
    <mergeCell ref="K16:P16"/>
    <mergeCell ref="K17:P17"/>
    <mergeCell ref="K18:P18"/>
    <mergeCell ref="K19:P19"/>
    <mergeCell ref="K20:P20"/>
    <mergeCell ref="C17:E17"/>
    <mergeCell ref="B18:B20"/>
    <mergeCell ref="C18:C20"/>
    <mergeCell ref="D18:D20"/>
    <mergeCell ref="E18:E20"/>
    <mergeCell ref="G18:G21"/>
    <mergeCell ref="I18:I21"/>
    <mergeCell ref="B16:I16"/>
    <mergeCell ref="B12:I15"/>
  </mergeCells>
  <conditionalFormatting sqref="E20:G20">
    <cfRule type="containsText" dxfId="53" priority="1" operator="containsText" text="Vizsga">
      <formula>NOT(ISERROR(SEARCH("Vizsga",E20)))</formula>
    </cfRule>
    <cfRule type="containsText" dxfId="52" priority="2" operator="containsText" text="&quot;Vizsga&quot;">
      <formula>NOT(ISERROR(SEARCH("""Vizsga""",E20)))</formula>
    </cfRule>
  </conditionalFormatting>
  <hyperlinks>
    <hyperlink ref="A1" location="KEZDŐLAP!A1" display="X" xr:uid="{F238A290-18E4-463D-AB6A-65C1A0288523}"/>
  </hyperlinks>
  <pageMargins left="0.7" right="0.7" top="0.75" bottom="0.75" header="0.3" footer="0.3"/>
  <pageSetup paperSize="9"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1857" r:id="rId4" name="Check Box 1">
              <controlPr defaultSize="0" autoFill="0" autoLine="0" autoPict="0">
                <anchor moveWithCells="1">
                  <from>
                    <xdr:col>1</xdr:col>
                    <xdr:colOff>114300</xdr:colOff>
                    <xdr:row>3</xdr:row>
                    <xdr:rowOff>171450</xdr:rowOff>
                  </from>
                  <to>
                    <xdr:col>6</xdr:col>
                    <xdr:colOff>904875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61" r:id="rId5" name="Check Box 5">
              <controlPr defaultSize="0" autoFill="0" autoLine="0" autoPict="0">
                <anchor moveWithCells="1">
                  <from>
                    <xdr:col>1</xdr:col>
                    <xdr:colOff>114300</xdr:colOff>
                    <xdr:row>4</xdr:row>
                    <xdr:rowOff>161925</xdr:rowOff>
                  </from>
                  <to>
                    <xdr:col>8</xdr:col>
                    <xdr:colOff>704850</xdr:colOff>
                    <xdr:row>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67" r:id="rId6" name="Check Box 11">
              <controlPr defaultSize="0" autoFill="0" autoLine="0" autoPict="0">
                <anchor moveWithCells="1">
                  <from>
                    <xdr:col>1</xdr:col>
                    <xdr:colOff>428625</xdr:colOff>
                    <xdr:row>8</xdr:row>
                    <xdr:rowOff>209550</xdr:rowOff>
                  </from>
                  <to>
                    <xdr:col>8</xdr:col>
                    <xdr:colOff>695325</xdr:colOff>
                    <xdr:row>10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545BF-ECC7-48F9-8AC1-BBE395B5EE0D}">
  <sheetPr>
    <tabColor rgb="FFFFC000"/>
  </sheetPr>
  <dimension ref="A1:Q38"/>
  <sheetViews>
    <sheetView workbookViewId="0"/>
  </sheetViews>
  <sheetFormatPr defaultRowHeight="15" x14ac:dyDescent="0.25"/>
  <cols>
    <col min="1" max="1" width="3.42578125" customWidth="1"/>
    <col min="2" max="9" width="13.7109375" customWidth="1"/>
    <col min="10" max="10" width="3.5703125" customWidth="1"/>
    <col min="11" max="12" width="19.28515625" customWidth="1"/>
    <col min="13" max="14" width="8.5703125" customWidth="1"/>
    <col min="15" max="16" width="19.28515625" customWidth="1"/>
    <col min="17" max="17" width="2" customWidth="1"/>
  </cols>
  <sheetData>
    <row r="1" spans="1:17" x14ac:dyDescent="0.25">
      <c r="A1" s="26" t="s">
        <v>43</v>
      </c>
      <c r="B1" s="147" t="s">
        <v>158</v>
      </c>
      <c r="C1" s="147"/>
      <c r="D1" s="147"/>
      <c r="E1" s="147"/>
      <c r="F1" s="147"/>
      <c r="G1" s="147"/>
      <c r="H1" s="147"/>
      <c r="I1" s="147"/>
      <c r="K1" s="147" t="s">
        <v>159</v>
      </c>
      <c r="L1" s="147"/>
      <c r="M1" s="147"/>
      <c r="N1" s="147"/>
      <c r="O1" s="147"/>
      <c r="P1" s="147"/>
    </row>
    <row r="2" spans="1:17" ht="6" customHeight="1" x14ac:dyDescent="0.25">
      <c r="B2" s="196"/>
      <c r="C2" s="196"/>
      <c r="D2" s="196"/>
      <c r="E2" s="196"/>
      <c r="F2" s="196"/>
      <c r="G2" s="196"/>
      <c r="H2" s="196"/>
      <c r="I2" s="196"/>
      <c r="K2" s="1"/>
      <c r="Q2" s="24"/>
    </row>
    <row r="3" spans="1:17" ht="17.25" customHeight="1" x14ac:dyDescent="0.25">
      <c r="B3" s="176" t="s">
        <v>153</v>
      </c>
      <c r="C3" s="176"/>
      <c r="D3" s="176"/>
      <c r="E3" s="176"/>
      <c r="F3" s="176"/>
      <c r="G3" s="176"/>
      <c r="H3" s="176"/>
      <c r="I3" s="176"/>
      <c r="K3" s="178" t="s">
        <v>155</v>
      </c>
      <c r="L3" s="178"/>
      <c r="M3" s="178"/>
      <c r="N3" s="178"/>
      <c r="O3" s="178"/>
      <c r="P3" s="178"/>
      <c r="Q3" s="64"/>
    </row>
    <row r="4" spans="1:17" ht="17.25" customHeight="1" x14ac:dyDescent="0.25">
      <c r="B4" s="20"/>
      <c r="C4" s="20"/>
      <c r="D4" s="20"/>
      <c r="E4" s="20"/>
      <c r="F4" s="20"/>
      <c r="G4" s="20"/>
      <c r="H4" s="20"/>
      <c r="I4" s="20"/>
      <c r="K4" s="178" t="s">
        <v>286</v>
      </c>
      <c r="L4" s="178"/>
      <c r="M4" s="178"/>
      <c r="N4" s="178"/>
      <c r="O4" s="178"/>
      <c r="P4" s="178"/>
      <c r="Q4" s="64"/>
    </row>
    <row r="5" spans="1:17" ht="17.25" customHeight="1" x14ac:dyDescent="0.25">
      <c r="B5" s="8"/>
      <c r="C5" s="8"/>
      <c r="D5" s="8"/>
      <c r="E5" s="8"/>
      <c r="F5" s="8"/>
      <c r="G5" s="8"/>
      <c r="H5" s="8"/>
      <c r="I5" s="8"/>
      <c r="K5" s="178" t="s">
        <v>129</v>
      </c>
      <c r="L5" s="178"/>
      <c r="M5" s="178"/>
      <c r="N5" s="178"/>
      <c r="O5" s="178"/>
      <c r="P5" s="178"/>
      <c r="Q5" s="64" t="b">
        <v>0</v>
      </c>
    </row>
    <row r="6" spans="1:17" ht="17.25" customHeight="1" x14ac:dyDescent="0.25">
      <c r="B6" s="8"/>
      <c r="C6" s="8"/>
      <c r="D6" s="8"/>
      <c r="E6" s="8"/>
      <c r="F6" s="8"/>
      <c r="G6" s="8"/>
      <c r="H6" s="8"/>
      <c r="I6" s="8"/>
      <c r="K6" s="175" t="s">
        <v>131</v>
      </c>
      <c r="L6" s="175"/>
      <c r="M6" s="175"/>
      <c r="N6" s="175"/>
      <c r="O6" s="175"/>
      <c r="P6" s="175"/>
      <c r="Q6" s="64" t="b">
        <v>0</v>
      </c>
    </row>
    <row r="7" spans="1:17" ht="17.25" customHeight="1" x14ac:dyDescent="0.25">
      <c r="B7" s="8"/>
      <c r="C7" s="8"/>
      <c r="D7" s="8"/>
      <c r="E7" s="8"/>
      <c r="F7" s="8"/>
      <c r="G7" s="8"/>
      <c r="H7" s="8"/>
      <c r="I7" s="8"/>
      <c r="K7" s="175"/>
      <c r="L7" s="175"/>
      <c r="M7" s="175"/>
      <c r="N7" s="175"/>
      <c r="O7" s="175"/>
      <c r="P7" s="175"/>
      <c r="Q7" s="64" t="b">
        <v>0</v>
      </c>
    </row>
    <row r="8" spans="1:17" ht="17.25" customHeight="1" x14ac:dyDescent="0.25">
      <c r="B8" s="8"/>
      <c r="C8" s="8"/>
      <c r="D8" s="8"/>
      <c r="E8" s="8"/>
      <c r="F8" s="8"/>
      <c r="G8" s="8"/>
      <c r="H8" s="8"/>
      <c r="I8" s="8"/>
      <c r="K8" s="175" t="s">
        <v>110</v>
      </c>
      <c r="L8" s="175"/>
      <c r="M8" s="175"/>
      <c r="N8" s="175"/>
      <c r="O8" s="175"/>
      <c r="P8" s="175"/>
      <c r="Q8" s="64" t="b">
        <v>0</v>
      </c>
    </row>
    <row r="9" spans="1:17" ht="17.25" customHeight="1" x14ac:dyDescent="0.25">
      <c r="B9" s="8"/>
      <c r="C9" s="8"/>
      <c r="D9" s="8"/>
      <c r="E9" s="8"/>
      <c r="F9" s="8"/>
      <c r="G9" s="8"/>
      <c r="H9" s="8"/>
      <c r="I9" s="8"/>
      <c r="K9" s="175"/>
      <c r="L9" s="175"/>
      <c r="M9" s="175"/>
      <c r="N9" s="175"/>
      <c r="O9" s="175"/>
      <c r="P9" s="175"/>
      <c r="Q9" s="64"/>
    </row>
    <row r="10" spans="1:17" ht="17.25" customHeight="1" x14ac:dyDescent="0.25">
      <c r="B10" s="8"/>
      <c r="C10" s="8"/>
      <c r="D10" s="8"/>
      <c r="E10" s="8"/>
      <c r="F10" s="8"/>
      <c r="G10" s="8"/>
      <c r="H10" s="8"/>
      <c r="I10" s="8"/>
      <c r="K10" s="175" t="s">
        <v>160</v>
      </c>
      <c r="L10" s="175"/>
      <c r="M10" s="175"/>
      <c r="N10" s="175"/>
      <c r="O10" s="175"/>
      <c r="P10" s="175"/>
      <c r="Q10" s="64"/>
    </row>
    <row r="11" spans="1:17" ht="17.25" customHeight="1" thickBot="1" x14ac:dyDescent="0.3">
      <c r="B11" s="8"/>
      <c r="C11" s="8"/>
      <c r="D11" s="8"/>
      <c r="E11" s="8"/>
      <c r="F11" s="8"/>
      <c r="G11" s="8"/>
      <c r="H11" s="8"/>
      <c r="I11" s="8"/>
      <c r="K11" s="266" t="str">
        <f>IF(OR(Q8,Q7)=TRUE,"","továbbá")</f>
        <v>továbbá</v>
      </c>
      <c r="L11" s="266"/>
      <c r="M11" s="266"/>
      <c r="N11" s="266"/>
      <c r="O11" s="266"/>
      <c r="P11" s="266"/>
      <c r="Q11" s="64"/>
    </row>
    <row r="12" spans="1:17" ht="16.5" customHeight="1" x14ac:dyDescent="0.25">
      <c r="B12" s="8"/>
      <c r="C12" s="8"/>
      <c r="D12" s="8"/>
      <c r="E12" s="8"/>
      <c r="F12" s="8"/>
      <c r="G12" s="8"/>
      <c r="H12" s="8"/>
      <c r="I12" s="8"/>
      <c r="K12" s="247" t="str">
        <f>IF(OR(Q8,Q7)=TRUE,"",(IF(OR(Q5,Q6)=TRUE,"","Legalább három év időtartamú, az üzemeltetési szintű feladatok tekintetében a kompetenciákra vonatkozóan  meghatározott követelményeken alapuló, jóváhagyott képzési program elvégzése")))</f>
        <v>Legalább három év időtartamú, az üzemeltetési szintű feladatok tekintetében a kompetenciákra vonatkozóan  meghatározott követelményeken alapuló, jóváhagyott képzési program elvégzése</v>
      </c>
      <c r="L12" s="248"/>
      <c r="M12" s="248"/>
      <c r="N12" s="248"/>
      <c r="O12" s="248"/>
      <c r="P12" s="249"/>
      <c r="Q12" s="64" t="b">
        <v>0</v>
      </c>
    </row>
    <row r="13" spans="1:17" ht="16.5" customHeight="1" x14ac:dyDescent="0.25">
      <c r="B13" s="258" t="s">
        <v>210</v>
      </c>
      <c r="C13" s="258"/>
      <c r="D13" s="258"/>
      <c r="E13" s="258"/>
      <c r="F13" s="258"/>
      <c r="G13" s="258"/>
      <c r="H13" s="258"/>
      <c r="I13" s="258"/>
      <c r="K13" s="236"/>
      <c r="L13" s="149"/>
      <c r="M13" s="149"/>
      <c r="N13" s="149"/>
      <c r="O13" s="149"/>
      <c r="P13" s="237"/>
      <c r="Q13" s="64" t="b">
        <v>0</v>
      </c>
    </row>
    <row r="14" spans="1:17" ht="16.5" customHeight="1" x14ac:dyDescent="0.25">
      <c r="B14" s="258"/>
      <c r="C14" s="258"/>
      <c r="D14" s="258"/>
      <c r="E14" s="258"/>
      <c r="F14" s="258"/>
      <c r="G14" s="258"/>
      <c r="H14" s="258"/>
      <c r="I14" s="258"/>
      <c r="J14" s="9"/>
      <c r="K14" s="236"/>
      <c r="L14" s="149"/>
      <c r="M14" s="149"/>
      <c r="N14" s="149"/>
      <c r="O14" s="149"/>
      <c r="P14" s="237"/>
      <c r="Q14" s="64" t="b">
        <v>0</v>
      </c>
    </row>
    <row r="15" spans="1:17" ht="16.5" customHeight="1" x14ac:dyDescent="0.25">
      <c r="B15" s="258"/>
      <c r="C15" s="258"/>
      <c r="D15" s="258"/>
      <c r="E15" s="258"/>
      <c r="F15" s="258"/>
      <c r="G15" s="258"/>
      <c r="H15" s="258"/>
      <c r="I15" s="258"/>
      <c r="J15" s="9"/>
      <c r="K15" s="236"/>
      <c r="L15" s="149"/>
      <c r="M15" s="149"/>
      <c r="N15" s="149"/>
      <c r="O15" s="149"/>
      <c r="P15" s="237"/>
      <c r="Q15" s="64"/>
    </row>
    <row r="16" spans="1:17" ht="16.5" customHeight="1" x14ac:dyDescent="0.25">
      <c r="B16" s="258"/>
      <c r="C16" s="258"/>
      <c r="D16" s="258"/>
      <c r="E16" s="258"/>
      <c r="F16" s="258"/>
      <c r="G16" s="258"/>
      <c r="H16" s="258"/>
      <c r="I16" s="258"/>
      <c r="J16" s="9"/>
      <c r="K16" s="236"/>
      <c r="L16" s="149"/>
      <c r="M16" s="149"/>
      <c r="N16" s="149"/>
      <c r="O16" s="149"/>
      <c r="P16" s="237"/>
      <c r="Q16" s="64"/>
    </row>
    <row r="17" spans="2:17" ht="28.5" customHeight="1" x14ac:dyDescent="0.25">
      <c r="B17" s="231" t="s">
        <v>215</v>
      </c>
      <c r="C17" s="231"/>
      <c r="D17" s="231"/>
      <c r="E17" s="231"/>
      <c r="F17" s="231"/>
      <c r="G17" s="231"/>
      <c r="H17" s="231"/>
      <c r="I17" s="231"/>
      <c r="J17" s="9"/>
      <c r="K17" s="236" t="str">
        <f>IF(OR(Q8,Q7)=TRUE,"",IF(Q6=TRUE,"",IF($Q$5=TRUE,"Legalább 180 nap hajózási idő teljesítése képesített matrózként töltött szolgálat végzéséhez szükséges képesítés birtokában","és")))</f>
        <v>és</v>
      </c>
      <c r="L17" s="149"/>
      <c r="M17" s="149"/>
      <c r="N17" s="149"/>
      <c r="O17" s="149"/>
      <c r="P17" s="237"/>
      <c r="Q17" s="64"/>
    </row>
    <row r="18" spans="2:17" ht="22.5" customHeight="1" x14ac:dyDescent="0.25">
      <c r="B18" s="44" t="s">
        <v>193</v>
      </c>
      <c r="C18" s="227" t="s">
        <v>59</v>
      </c>
      <c r="D18" s="227"/>
      <c r="E18" s="227"/>
      <c r="F18" s="34"/>
      <c r="G18" s="34"/>
      <c r="H18" s="34"/>
      <c r="I18" s="34"/>
      <c r="J18" s="9"/>
      <c r="K18" s="236" t="str">
        <f>IF(OR(Q8,Q7)=TRUE,"",IF(OR(Q5,Q6)=TRUE,"","A jóváhagyott képzési program részeként legalább 360 nap hajózási idő"))</f>
        <v>A jóváhagyott képzési program részeként legalább 360 nap hajózási idő</v>
      </c>
      <c r="L18" s="149"/>
      <c r="M18" s="149"/>
      <c r="N18" s="149"/>
      <c r="O18" s="149"/>
      <c r="P18" s="237"/>
      <c r="Q18" s="64"/>
    </row>
    <row r="19" spans="2:17" ht="33" customHeight="1" x14ac:dyDescent="0.25">
      <c r="B19" s="264" t="s">
        <v>295</v>
      </c>
      <c r="C19" s="264" t="s">
        <v>294</v>
      </c>
      <c r="D19" s="264" t="s">
        <v>293</v>
      </c>
      <c r="E19" s="264" t="s">
        <v>291</v>
      </c>
      <c r="G19" s="238" t="s">
        <v>146</v>
      </c>
      <c r="I19" s="238" t="s">
        <v>119</v>
      </c>
      <c r="J19" s="9"/>
      <c r="K19" s="236" t="str">
        <f>IF(OR(Q8,Q7)=TRUE,"",IF(OR($Q$5,Q6)=TRUE,"","és"))</f>
        <v>és</v>
      </c>
      <c r="L19" s="149"/>
      <c r="M19" s="149"/>
      <c r="N19" s="149"/>
      <c r="O19" s="149"/>
      <c r="P19" s="237"/>
      <c r="Q19" s="64"/>
    </row>
    <row r="20" spans="2:17" ht="44.25" customHeight="1" thickBot="1" x14ac:dyDescent="0.3">
      <c r="B20" s="264"/>
      <c r="C20" s="264"/>
      <c r="D20" s="264"/>
      <c r="E20" s="264"/>
      <c r="G20" s="238"/>
      <c r="I20" s="238"/>
      <c r="J20" s="9"/>
      <c r="K20" s="233" t="str">
        <f>IF(OR(Q8,Q7)=TRUE,"",IF(Q5=TRUE,"","A hajózási vizsgaközpont által lebonyolított képesítő vizsga sikeres letétele az üzemeltetési szinthez tartozó kompetenciák meglétének ellenőrzésére."))</f>
        <v>A hajózási vizsgaközpont által lebonyolított képesítő vizsga sikeres letétele az üzemeltetési szinthez tartozó kompetenciák meglétének ellenőrzésére.</v>
      </c>
      <c r="L20" s="234"/>
      <c r="M20" s="234"/>
      <c r="N20" s="234"/>
      <c r="O20" s="234"/>
      <c r="P20" s="235"/>
      <c r="Q20" s="64"/>
    </row>
    <row r="21" spans="2:17" ht="16.5" customHeight="1" x14ac:dyDescent="0.25">
      <c r="B21" s="264"/>
      <c r="C21" s="264"/>
      <c r="D21" s="264"/>
      <c r="E21" s="264"/>
      <c r="G21" s="238"/>
      <c r="I21" s="238"/>
      <c r="J21" s="9"/>
      <c r="K21" s="265"/>
      <c r="L21" s="265"/>
      <c r="M21" s="265"/>
      <c r="N21" s="265"/>
      <c r="O21" s="265"/>
      <c r="P21" s="265"/>
      <c r="Q21" s="25"/>
    </row>
    <row r="22" spans="2:17" ht="14.25" customHeight="1" x14ac:dyDescent="0.25">
      <c r="B22" s="87" t="s">
        <v>208</v>
      </c>
      <c r="C22" s="86" t="s">
        <v>209</v>
      </c>
      <c r="D22" s="86" t="s">
        <v>209</v>
      </c>
      <c r="E22" s="86" t="s">
        <v>209</v>
      </c>
      <c r="G22" s="238"/>
      <c r="I22" s="238"/>
      <c r="K22" s="232" t="str">
        <f>IF(Q8=TRUE,"",IF($Q$7=TRUE,"a nem UNIÓs kormányos képesítés birtokában, vizsga nélkül az alábbiak figyelembevételével:",""))</f>
        <v/>
      </c>
      <c r="L22" s="232"/>
      <c r="M22" s="232"/>
      <c r="N22" s="232"/>
      <c r="O22" s="232"/>
      <c r="P22" s="232"/>
      <c r="Q22" s="25"/>
    </row>
    <row r="23" spans="2:17" ht="14.25" customHeight="1" thickBot="1" x14ac:dyDescent="0.3">
      <c r="B23" s="74">
        <f>IF(OR(Q7,$Q$5)=TRUE,"",KEZDŐLAP!$F$26)</f>
        <v>17400</v>
      </c>
      <c r="C23" s="74">
        <f>IF(OR(Q7,$Q$5)=TRUE,"",KEZDŐLAP!$F$29)</f>
        <v>28300</v>
      </c>
      <c r="D23" s="74">
        <f>IF(OR(Q7,$Q$5)=TRUE,"",KEZDŐLAP!$F$29)</f>
        <v>28300</v>
      </c>
      <c r="E23" s="74">
        <f>IF(OR(Q7,$Q$5,Q13)=TRUE,"",KEZDŐLAP!$F$29)</f>
        <v>28300</v>
      </c>
      <c r="G23" s="76">
        <f>KEZDŐLAP!F32</f>
        <v>8700</v>
      </c>
      <c r="I23" s="77">
        <f>SUM(B23:E23)+G23</f>
        <v>111000</v>
      </c>
      <c r="K23" s="232"/>
      <c r="L23" s="232"/>
      <c r="M23" s="232"/>
      <c r="N23" s="232"/>
      <c r="O23" s="232"/>
      <c r="P23" s="232"/>
      <c r="Q23" s="25"/>
    </row>
    <row r="24" spans="2:17" ht="14.25" customHeight="1" x14ac:dyDescent="0.25">
      <c r="K24" s="244" t="str">
        <f>IF(Q8=TRUE,"",IF($Q$7=TRUE,"Az előírt hajózási idő helyett legfeljebb 360 nap hajózási idővel kevesebb idő elegendő, ha a kérelmező a hajózási hatóság által elismert, egy gyakorlati navigációs munkát is magában foglaló speciális belvízi hajózási képzés sikeres elvégzését igazolja",""))</f>
        <v/>
      </c>
      <c r="L24" s="245"/>
      <c r="M24" s="245"/>
      <c r="N24" s="245"/>
      <c r="O24" s="245"/>
      <c r="P24" s="246"/>
    </row>
    <row r="25" spans="2:17" ht="14.25" customHeight="1" x14ac:dyDescent="0.25">
      <c r="K25" s="239"/>
      <c r="L25" s="171"/>
      <c r="M25" s="171"/>
      <c r="N25" s="171"/>
      <c r="O25" s="171"/>
      <c r="P25" s="240"/>
    </row>
    <row r="26" spans="2:17" x14ac:dyDescent="0.25">
      <c r="K26" s="239"/>
      <c r="L26" s="171"/>
      <c r="M26" s="171"/>
      <c r="N26" s="171"/>
      <c r="O26" s="171"/>
      <c r="P26" s="240"/>
    </row>
    <row r="27" spans="2:17" s="2" customFormat="1" ht="15" customHeight="1" x14ac:dyDescent="0.25">
      <c r="B27"/>
      <c r="C27"/>
      <c r="D27"/>
      <c r="E27"/>
      <c r="F27"/>
      <c r="G27"/>
      <c r="H27"/>
      <c r="I27"/>
      <c r="K27" s="239" t="str">
        <f>IF(Q8=TRUE,"",IF($Q$7=TRUE,"Az elfogadható kevesebb idő mértéke legfeljebb a speciális képzés időtartamának megfelelő lehet. A 2022. április 19. napja előtt megkezdett gyakorlatszerzésre fordított időt el kell fogadni.",""))</f>
        <v/>
      </c>
      <c r="L27" s="171"/>
      <c r="M27" s="171"/>
      <c r="N27" s="171"/>
      <c r="O27" s="171"/>
      <c r="P27" s="240"/>
    </row>
    <row r="28" spans="2:17" s="2" customFormat="1" ht="15.75" customHeight="1" thickBot="1" x14ac:dyDescent="0.3">
      <c r="B28"/>
      <c r="C28"/>
      <c r="D28"/>
      <c r="E28"/>
      <c r="F28"/>
      <c r="G28"/>
      <c r="H28"/>
      <c r="I28"/>
      <c r="K28" s="241"/>
      <c r="L28" s="242"/>
      <c r="M28" s="242"/>
      <c r="N28" s="242"/>
      <c r="O28" s="242"/>
      <c r="P28" s="243"/>
    </row>
    <row r="29" spans="2:17" s="1" customFormat="1" x14ac:dyDescent="0.25">
      <c r="B29"/>
      <c r="C29"/>
      <c r="D29"/>
      <c r="E29"/>
      <c r="F29"/>
      <c r="G29"/>
      <c r="H29"/>
      <c r="I29"/>
      <c r="J29" s="2"/>
      <c r="K29"/>
      <c r="L29"/>
      <c r="M29" s="196"/>
      <c r="N29" s="196"/>
      <c r="O29" s="196"/>
      <c r="P29" s="196"/>
    </row>
    <row r="30" spans="2:17" x14ac:dyDescent="0.25">
      <c r="K30" s="2"/>
      <c r="L30" s="2"/>
      <c r="M30" s="72"/>
      <c r="N30" s="72"/>
      <c r="O30" s="72"/>
      <c r="P30" s="72"/>
    </row>
    <row r="31" spans="2:17" x14ac:dyDescent="0.25">
      <c r="K31" s="17"/>
      <c r="L31" s="17"/>
      <c r="M31" s="2"/>
      <c r="N31" s="2"/>
      <c r="O31" s="2"/>
      <c r="P31" s="2"/>
    </row>
    <row r="32" spans="2:17" x14ac:dyDescent="0.25">
      <c r="K32" s="17"/>
      <c r="L32" s="17"/>
      <c r="M32" s="72"/>
      <c r="N32" s="72"/>
      <c r="O32" s="72"/>
      <c r="P32" s="72"/>
    </row>
    <row r="33" spans="11:16" x14ac:dyDescent="0.25">
      <c r="K33" s="17"/>
      <c r="L33" s="17"/>
      <c r="M33" s="72"/>
      <c r="N33" s="72"/>
      <c r="O33" s="72"/>
      <c r="P33" s="72"/>
    </row>
    <row r="34" spans="11:16" x14ac:dyDescent="0.25">
      <c r="L34" s="17"/>
      <c r="M34" s="72"/>
      <c r="N34" s="72"/>
      <c r="O34" s="72"/>
      <c r="P34" s="72"/>
    </row>
    <row r="35" spans="11:16" x14ac:dyDescent="0.25">
      <c r="L35" s="17"/>
      <c r="M35" s="17"/>
      <c r="N35" s="17"/>
      <c r="O35" s="17"/>
      <c r="P35" s="17"/>
    </row>
    <row r="36" spans="11:16" x14ac:dyDescent="0.25">
      <c r="L36" s="17"/>
      <c r="M36" s="17"/>
      <c r="N36" s="17"/>
      <c r="O36" s="17"/>
      <c r="P36" s="17"/>
    </row>
    <row r="37" spans="11:16" x14ac:dyDescent="0.25">
      <c r="L37" s="17"/>
      <c r="M37" s="17"/>
      <c r="N37" s="17"/>
      <c r="O37" s="17"/>
      <c r="P37" s="17"/>
    </row>
    <row r="38" spans="11:16" x14ac:dyDescent="0.25">
      <c r="L38" s="17"/>
      <c r="M38" s="17"/>
      <c r="N38" s="17"/>
      <c r="O38" s="17"/>
      <c r="P38" s="17"/>
    </row>
  </sheetData>
  <sheetProtection sheet="1" selectLockedCells="1"/>
  <protectedRanges>
    <protectedRange password="EFFA" sqref="J2:Q2 A24:A29 L12:L16 K6 K12 M29:O29 J28:J29 K8:K10 Q3:Q23 K20 N3:P4 K3:K4 N1:P1 B1:L1 B3:I17 K23:K24 L21:P21 N22:P25 L24:M25 K28:L28 N28:P28 L3:L10 M16 N7:P11 K11:L11 N15:N16 M14 O12:P16 N12:N13 L18:L20 M18:M19 N18:P20 L17:P17 J3:J25" name="Tartomány1"/>
    <protectedRange password="EFFA" sqref="K13 K21:K22 K7 K25 K16:K19" name="Tartomány1_2"/>
    <protectedRange password="EFFA" sqref="K5 N5:P5" name="Tartomány1_1"/>
    <protectedRange password="EFFA" sqref="A1" name="Tartomány1_3"/>
    <protectedRange password="EFFA" sqref="K32:N32 K31:L31" name="Tartomány1_2_1"/>
    <protectedRange password="EFFA" sqref="B2:I2" name="Tartomány1_7"/>
    <protectedRange password="EFFA" sqref="M30:N30" name="Tartomány1_2_1_1"/>
    <protectedRange password="EFFA" sqref="I23 I21" name="Tartomány1_6"/>
    <protectedRange password="EFFA" sqref="I19" name="Tartomány1_6_2"/>
    <protectedRange password="EFFA" sqref="G23" name="Tartomány1_5_1"/>
  </protectedRanges>
  <mergeCells count="31">
    <mergeCell ref="K4:P4"/>
    <mergeCell ref="B1:I1"/>
    <mergeCell ref="K1:P1"/>
    <mergeCell ref="B2:I2"/>
    <mergeCell ref="B3:I3"/>
    <mergeCell ref="K3:P3"/>
    <mergeCell ref="K5:P5"/>
    <mergeCell ref="K6:P7"/>
    <mergeCell ref="K8:P8"/>
    <mergeCell ref="K9:P9"/>
    <mergeCell ref="K11:P11"/>
    <mergeCell ref="K10:P10"/>
    <mergeCell ref="K12:P16"/>
    <mergeCell ref="B17:I17"/>
    <mergeCell ref="B13:I16"/>
    <mergeCell ref="K19:P19"/>
    <mergeCell ref="K20:P20"/>
    <mergeCell ref="K17:P17"/>
    <mergeCell ref="K18:P18"/>
    <mergeCell ref="C18:E18"/>
    <mergeCell ref="B19:B21"/>
    <mergeCell ref="C19:C21"/>
    <mergeCell ref="D19:D21"/>
    <mergeCell ref="E19:E21"/>
    <mergeCell ref="G19:G22"/>
    <mergeCell ref="I19:I22"/>
    <mergeCell ref="M29:P29"/>
    <mergeCell ref="K22:P23"/>
    <mergeCell ref="K24:P26"/>
    <mergeCell ref="K27:P28"/>
    <mergeCell ref="K21:P21"/>
  </mergeCells>
  <conditionalFormatting sqref="F22:G22">
    <cfRule type="containsText" dxfId="51" priority="1" operator="containsText" text="Vizsga">
      <formula>NOT(ISERROR(SEARCH("Vizsga",F22)))</formula>
    </cfRule>
    <cfRule type="containsText" dxfId="50" priority="2" operator="containsText" text="&quot;Vizsga&quot;">
      <formula>NOT(ISERROR(SEARCH("""Vizsga""",F22)))</formula>
    </cfRule>
  </conditionalFormatting>
  <hyperlinks>
    <hyperlink ref="A1" location="KEZDŐLAP!A1" display="X" xr:uid="{3E3BCCD0-693C-47B9-89A0-764B0FEDC4DA}"/>
  </hyperlinks>
  <pageMargins left="0.7" right="0.7" top="0.75" bottom="0.75" header="0.3" footer="0.3"/>
  <pageSetup paperSize="9"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81" r:id="rId4" name="Check Box 1">
              <controlPr defaultSize="0" autoFill="0" autoLine="0" autoPict="0">
                <anchor moveWithCells="1">
                  <from>
                    <xdr:col>1</xdr:col>
                    <xdr:colOff>114300</xdr:colOff>
                    <xdr:row>3</xdr:row>
                    <xdr:rowOff>104775</xdr:rowOff>
                  </from>
                  <to>
                    <xdr:col>6</xdr:col>
                    <xdr:colOff>904875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82" r:id="rId5" name="Check Box 2">
              <controlPr defaultSize="0" autoFill="0" autoLine="0" autoPict="0">
                <anchor moveWithCells="1">
                  <from>
                    <xdr:col>1</xdr:col>
                    <xdr:colOff>123825</xdr:colOff>
                    <xdr:row>4</xdr:row>
                    <xdr:rowOff>171450</xdr:rowOff>
                  </from>
                  <to>
                    <xdr:col>7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83" r:id="rId6" name="Check Box 3">
              <controlPr defaultSize="0" autoFill="0" autoLine="0" autoPict="0">
                <anchor moveWithCells="1">
                  <from>
                    <xdr:col>1</xdr:col>
                    <xdr:colOff>123825</xdr:colOff>
                    <xdr:row>5</xdr:row>
                    <xdr:rowOff>190500</xdr:rowOff>
                  </from>
                  <to>
                    <xdr:col>8</xdr:col>
                    <xdr:colOff>742950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85" r:id="rId7" name="Check Box 5">
              <controlPr defaultSize="0" autoFill="0" autoLine="0" autoPict="0">
                <anchor moveWithCells="1">
                  <from>
                    <xdr:col>1</xdr:col>
                    <xdr:colOff>428625</xdr:colOff>
                    <xdr:row>10</xdr:row>
                    <xdr:rowOff>114300</xdr:rowOff>
                  </from>
                  <to>
                    <xdr:col>8</xdr:col>
                    <xdr:colOff>695325</xdr:colOff>
                    <xdr:row>12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4A097-0FD2-4108-A6B0-E01B8913CD22}">
  <sheetPr>
    <tabColor rgb="FFFFC000"/>
  </sheetPr>
  <dimension ref="A1:R34"/>
  <sheetViews>
    <sheetView workbookViewId="0"/>
  </sheetViews>
  <sheetFormatPr defaultRowHeight="15" x14ac:dyDescent="0.25"/>
  <cols>
    <col min="1" max="1" width="3.42578125" customWidth="1"/>
    <col min="2" max="8" width="14.7109375" customWidth="1"/>
    <col min="9" max="9" width="3.85546875" customWidth="1"/>
    <col min="10" max="10" width="15.85546875" customWidth="1"/>
    <col min="11" max="11" width="3.5703125" customWidth="1"/>
    <col min="12" max="13" width="19.28515625" customWidth="1"/>
    <col min="14" max="15" width="8.5703125" customWidth="1"/>
    <col min="16" max="17" width="19.28515625" customWidth="1"/>
    <col min="18" max="18" width="1.28515625" customWidth="1"/>
  </cols>
  <sheetData>
    <row r="1" spans="1:18" x14ac:dyDescent="0.25">
      <c r="A1" s="26" t="s">
        <v>43</v>
      </c>
      <c r="B1" s="147" t="s">
        <v>189</v>
      </c>
      <c r="C1" s="147"/>
      <c r="D1" s="147"/>
      <c r="E1" s="147"/>
      <c r="F1" s="147"/>
      <c r="G1" s="147"/>
      <c r="H1" s="147"/>
      <c r="I1" s="147"/>
      <c r="J1" s="147"/>
      <c r="L1" s="147" t="s">
        <v>191</v>
      </c>
      <c r="M1" s="147"/>
      <c r="N1" s="147"/>
      <c r="O1" s="147"/>
      <c r="P1" s="147"/>
      <c r="Q1" s="147"/>
    </row>
    <row r="2" spans="1:18" ht="6" customHeight="1" thickBot="1" x14ac:dyDescent="0.3">
      <c r="B2" s="196"/>
      <c r="C2" s="196"/>
      <c r="D2" s="196"/>
      <c r="E2" s="196"/>
      <c r="F2" s="196"/>
      <c r="G2" s="196"/>
      <c r="H2" s="196"/>
      <c r="I2" s="196"/>
      <c r="J2" s="196"/>
      <c r="L2" s="1"/>
      <c r="R2" s="24"/>
    </row>
    <row r="3" spans="1:18" ht="17.25" customHeight="1" x14ac:dyDescent="0.25">
      <c r="B3" s="176" t="s">
        <v>192</v>
      </c>
      <c r="C3" s="176"/>
      <c r="D3" s="176"/>
      <c r="E3" s="176"/>
      <c r="F3" s="176"/>
      <c r="G3" s="176"/>
      <c r="H3" s="176"/>
      <c r="I3" s="176"/>
      <c r="J3" s="176"/>
      <c r="L3" s="259" t="str">
        <f>IF(OR(R5,R4)=TRUE,"Okmánykiállítási kérelem","Vizsgajelentkezési/okmány kiállítási kérelem")</f>
        <v>Vizsgajelentkezési/okmány kiállítási kérelem</v>
      </c>
      <c r="M3" s="260"/>
      <c r="N3" s="260"/>
      <c r="O3" s="260"/>
      <c r="P3" s="260"/>
      <c r="Q3" s="261"/>
      <c r="R3" s="64"/>
    </row>
    <row r="4" spans="1:18" ht="17.25" customHeight="1" x14ac:dyDescent="0.25">
      <c r="B4" s="20"/>
      <c r="C4" s="20"/>
      <c r="D4" s="20"/>
      <c r="E4" s="20"/>
      <c r="F4" s="20"/>
      <c r="G4" s="20"/>
      <c r="H4" s="20"/>
      <c r="I4" s="20"/>
      <c r="J4" s="20"/>
      <c r="L4" s="281" t="str">
        <f>IF(AND(R14=1,R4=FALSE,R5=FALSE,R9=FALSE,R8=FALSE,R10=FALSE),"A munkatapasztalat igazolása, munkaszerződéssel, egyéb igazolásokkal",IF(AND(R4=FALSE,R5=FALSE,R14=3,R10=FALSE),"Szakképesítés igazolása",""))</f>
        <v/>
      </c>
      <c r="M4" s="180"/>
      <c r="N4" s="180"/>
      <c r="O4" s="180"/>
      <c r="P4" s="180"/>
      <c r="Q4" s="282"/>
      <c r="R4" s="64" t="b">
        <v>0</v>
      </c>
    </row>
    <row r="5" spans="1:18" ht="17.25" customHeight="1" x14ac:dyDescent="0.25">
      <c r="B5" s="20"/>
      <c r="C5" s="20"/>
      <c r="D5" s="20"/>
      <c r="E5" s="20"/>
      <c r="F5" s="20"/>
      <c r="G5" s="20"/>
      <c r="H5" s="20"/>
      <c r="I5" s="20"/>
      <c r="J5" s="20"/>
      <c r="L5" s="262" t="s">
        <v>7</v>
      </c>
      <c r="M5" s="178"/>
      <c r="N5" s="178"/>
      <c r="O5" s="178"/>
      <c r="P5" s="178"/>
      <c r="Q5" s="263"/>
      <c r="R5" s="64" t="b">
        <v>0</v>
      </c>
    </row>
    <row r="6" spans="1:18" ht="17.25" customHeight="1" x14ac:dyDescent="0.25">
      <c r="B6" s="8"/>
      <c r="C6" s="8"/>
      <c r="D6" s="8"/>
      <c r="E6" s="8"/>
      <c r="F6" s="8"/>
      <c r="G6" s="8"/>
      <c r="H6" s="8"/>
      <c r="I6" s="8"/>
      <c r="J6" s="8"/>
      <c r="L6" s="262" t="s">
        <v>129</v>
      </c>
      <c r="M6" s="178"/>
      <c r="N6" s="178"/>
      <c r="O6" s="178"/>
      <c r="P6" s="178"/>
      <c r="Q6" s="263"/>
      <c r="R6" s="64" t="b">
        <v>0</v>
      </c>
    </row>
    <row r="7" spans="1:18" ht="17.25" customHeight="1" x14ac:dyDescent="0.25">
      <c r="B7" s="8"/>
      <c r="C7" s="8"/>
      <c r="D7" s="8"/>
      <c r="E7" s="8"/>
      <c r="F7" s="8"/>
      <c r="G7" s="8"/>
      <c r="H7" s="8"/>
      <c r="I7" s="8"/>
      <c r="J7" s="8"/>
      <c r="L7" s="253" t="s">
        <v>205</v>
      </c>
      <c r="M7" s="175"/>
      <c r="N7" s="175"/>
      <c r="O7" s="175"/>
      <c r="P7" s="175"/>
      <c r="Q7" s="254"/>
      <c r="R7" s="64" t="b">
        <v>0</v>
      </c>
    </row>
    <row r="8" spans="1:18" ht="17.25" customHeight="1" x14ac:dyDescent="0.25">
      <c r="B8" s="8"/>
      <c r="C8" s="8"/>
      <c r="D8" s="8"/>
      <c r="E8" s="8"/>
      <c r="F8" s="8"/>
      <c r="G8" s="8"/>
      <c r="H8" s="8"/>
      <c r="I8" s="8"/>
      <c r="J8" s="8"/>
      <c r="L8" s="253"/>
      <c r="M8" s="175"/>
      <c r="N8" s="175"/>
      <c r="O8" s="175"/>
      <c r="P8" s="175"/>
      <c r="Q8" s="254"/>
      <c r="R8" s="64" t="b">
        <v>0</v>
      </c>
    </row>
    <row r="9" spans="1:18" ht="17.25" customHeight="1" x14ac:dyDescent="0.25">
      <c r="B9" s="8"/>
      <c r="C9" s="8"/>
      <c r="D9" s="8"/>
      <c r="E9" s="8"/>
      <c r="F9" s="8"/>
      <c r="G9" s="8"/>
      <c r="H9" s="8"/>
      <c r="I9" s="8"/>
      <c r="J9" s="8"/>
      <c r="L9" s="253" t="s">
        <v>110</v>
      </c>
      <c r="M9" s="175"/>
      <c r="N9" s="175"/>
      <c r="O9" s="175"/>
      <c r="P9" s="175"/>
      <c r="Q9" s="254"/>
      <c r="R9" s="64" t="b">
        <v>0</v>
      </c>
    </row>
    <row r="10" spans="1:18" ht="17.25" customHeight="1" x14ac:dyDescent="0.25">
      <c r="B10" s="8"/>
      <c r="C10" s="8"/>
      <c r="D10" s="8"/>
      <c r="E10" s="8"/>
      <c r="F10" s="8"/>
      <c r="G10" s="8"/>
      <c r="H10" s="8"/>
      <c r="I10" s="8"/>
      <c r="J10" s="8"/>
      <c r="L10" s="279" t="s">
        <v>190</v>
      </c>
      <c r="M10" s="169"/>
      <c r="N10" s="169"/>
      <c r="O10" s="169"/>
      <c r="P10" s="169"/>
      <c r="Q10" s="280"/>
      <c r="R10" s="64" t="b">
        <v>0</v>
      </c>
    </row>
    <row r="11" spans="1:18" ht="17.25" customHeight="1" thickBot="1" x14ac:dyDescent="0.3">
      <c r="B11" s="8"/>
      <c r="C11" s="8"/>
      <c r="D11" s="8"/>
      <c r="E11" s="8"/>
      <c r="F11" s="8"/>
      <c r="G11" s="8"/>
      <c r="H11" s="8"/>
      <c r="I11" s="8"/>
      <c r="J11" s="8"/>
      <c r="L11" s="267" t="str">
        <f>IF(OR(R4,R5,$R$6,R12,R13)=TRUE,"","Betöltött 18. életév")</f>
        <v>Betöltött 18. életév</v>
      </c>
      <c r="M11" s="268"/>
      <c r="N11" s="268"/>
      <c r="O11" s="268"/>
      <c r="P11" s="268"/>
      <c r="Q11" s="269"/>
      <c r="R11" s="64" t="b">
        <v>0</v>
      </c>
    </row>
    <row r="12" spans="1:18" ht="17.25" customHeight="1" thickBot="1" x14ac:dyDescent="0.3">
      <c r="B12" s="8"/>
      <c r="C12" s="8"/>
      <c r="D12" s="8"/>
      <c r="E12" s="8"/>
      <c r="F12" s="8"/>
      <c r="G12" s="8"/>
      <c r="H12" s="8"/>
      <c r="I12" s="8"/>
      <c r="J12" s="8"/>
      <c r="L12" s="232" t="s">
        <v>206</v>
      </c>
      <c r="M12" s="232"/>
      <c r="N12" s="232"/>
      <c r="O12" s="232"/>
      <c r="P12" s="232"/>
      <c r="Q12" s="232"/>
      <c r="R12" s="64"/>
    </row>
    <row r="13" spans="1:18" ht="18" customHeight="1" x14ac:dyDescent="0.25">
      <c r="B13" s="8"/>
      <c r="C13" s="8"/>
      <c r="D13" s="8"/>
      <c r="E13" s="8"/>
      <c r="F13" s="8"/>
      <c r="G13" s="8"/>
      <c r="H13" s="8"/>
      <c r="I13" s="8"/>
      <c r="J13" s="8"/>
      <c r="L13" s="283" t="str">
        <f>IF(AND($R$8=TRUE,R9=FALSE,R12=FALSE,R13=FALSE,R4=FALSE,R5=FALSE),"Legalább 360 nap,a képzés részeként vagy annak befejezése után teljesített hajózási idő igazolása","")</f>
        <v/>
      </c>
      <c r="M13" s="284"/>
      <c r="N13" s="84"/>
      <c r="O13" s="84"/>
      <c r="P13" s="284" t="str">
        <f>IF(AND(R9=TRUE,R4=FALSE,R5=FALSE,R10=FALSE),"Legalább 180 nap hajózási idő igazolása","")</f>
        <v/>
      </c>
      <c r="Q13" s="285"/>
      <c r="R13" s="64"/>
    </row>
    <row r="14" spans="1:18" ht="18" customHeight="1" x14ac:dyDescent="0.25">
      <c r="B14" s="85" t="s">
        <v>207</v>
      </c>
      <c r="C14" s="8"/>
      <c r="D14" s="8"/>
      <c r="E14" s="8"/>
      <c r="F14" s="8"/>
      <c r="G14" s="8"/>
      <c r="H14" s="8"/>
      <c r="I14" s="8"/>
      <c r="J14" s="8"/>
      <c r="L14" s="274"/>
      <c r="M14" s="275"/>
      <c r="N14" s="88"/>
      <c r="O14" s="88"/>
      <c r="P14" s="275"/>
      <c r="Q14" s="276"/>
      <c r="R14" s="64">
        <v>4</v>
      </c>
    </row>
    <row r="15" spans="1:18" ht="18" customHeight="1" x14ac:dyDescent="0.25">
      <c r="B15" s="8"/>
      <c r="C15" s="8"/>
      <c r="D15" s="8"/>
      <c r="E15" s="8"/>
      <c r="F15" s="8"/>
      <c r="G15" s="8"/>
      <c r="H15" s="8"/>
      <c r="I15" s="8"/>
      <c r="J15" s="8"/>
      <c r="K15" s="9"/>
      <c r="L15" s="274"/>
      <c r="M15" s="275"/>
      <c r="N15" s="271"/>
      <c r="O15" s="271"/>
      <c r="P15" s="275"/>
      <c r="Q15" s="276"/>
      <c r="R15" s="64"/>
    </row>
    <row r="16" spans="1:18" ht="18" customHeight="1" x14ac:dyDescent="0.25">
      <c r="B16" s="8"/>
      <c r="C16" s="8"/>
      <c r="D16" s="8"/>
      <c r="E16" s="8"/>
      <c r="F16" s="8"/>
      <c r="G16" s="8"/>
      <c r="H16" s="8"/>
      <c r="I16" s="8"/>
      <c r="J16" s="8"/>
      <c r="K16" s="9"/>
      <c r="L16" s="274"/>
      <c r="M16" s="275"/>
      <c r="N16" s="88"/>
      <c r="O16" s="88"/>
      <c r="P16" s="275"/>
      <c r="Q16" s="276"/>
      <c r="R16" s="64"/>
    </row>
    <row r="17" spans="2:18" ht="18" customHeight="1" x14ac:dyDescent="0.25">
      <c r="B17" s="8"/>
      <c r="C17" s="8"/>
      <c r="D17" s="8"/>
      <c r="E17" s="8"/>
      <c r="F17" s="8"/>
      <c r="G17" s="8"/>
      <c r="H17" s="8"/>
      <c r="I17" s="8"/>
      <c r="J17" s="8"/>
      <c r="K17" s="9"/>
      <c r="L17" s="274"/>
      <c r="M17" s="275"/>
      <c r="N17" s="88"/>
      <c r="O17" s="88"/>
      <c r="P17" s="275"/>
      <c r="Q17" s="276"/>
      <c r="R17" s="64"/>
    </row>
    <row r="18" spans="2:18" ht="16.5" customHeight="1" x14ac:dyDescent="0.25">
      <c r="B18" s="8"/>
      <c r="C18" s="8"/>
      <c r="D18" s="8"/>
      <c r="E18" s="8"/>
      <c r="F18" s="8"/>
      <c r="G18" s="8"/>
      <c r="H18" s="8"/>
      <c r="I18" s="8"/>
      <c r="J18" s="8"/>
      <c r="K18" s="9"/>
      <c r="L18" s="270"/>
      <c r="M18" s="271"/>
      <c r="N18" s="271"/>
      <c r="O18" s="271"/>
      <c r="P18" s="271"/>
      <c r="Q18" s="272"/>
      <c r="R18" s="64"/>
    </row>
    <row r="19" spans="2:18" ht="18" customHeight="1" x14ac:dyDescent="0.25">
      <c r="B19" s="8"/>
      <c r="C19" s="8"/>
      <c r="D19" s="8"/>
      <c r="E19" s="8"/>
      <c r="F19" s="8"/>
      <c r="G19" s="8"/>
      <c r="H19" s="8"/>
      <c r="I19" s="8"/>
      <c r="J19" s="8"/>
      <c r="K19" s="9"/>
      <c r="L19" s="274" t="str">
        <f>IF(AND(R14&lt;4,R9=FALSE,R8=FALSE,R4=FALSE,R5=FALSE,R10=FALSE),"Legalább másfél év időtartamú, irányítási szintű jóváhagyott képzési program elvégzése","")</f>
        <v/>
      </c>
      <c r="M19" s="275"/>
      <c r="N19" s="275"/>
      <c r="O19" s="275"/>
      <c r="P19" s="275"/>
      <c r="Q19" s="276"/>
      <c r="R19" s="64"/>
    </row>
    <row r="20" spans="2:18" ht="43.5" customHeight="1" x14ac:dyDescent="0.25">
      <c r="B20" s="231" t="s">
        <v>215</v>
      </c>
      <c r="C20" s="231"/>
      <c r="D20" s="231"/>
      <c r="E20" s="231"/>
      <c r="F20" s="231"/>
      <c r="G20" s="231"/>
      <c r="H20" s="231"/>
      <c r="I20" s="231"/>
      <c r="J20" s="231"/>
      <c r="K20" s="9"/>
      <c r="L20" s="274" t="str">
        <f>IF(AND(R14&lt;4,R9=FALSE,R8=FALSE,R4=FALSE,R5=FALSE,R10=FALSE),"A jóváhagyott képzési program keretében lezajlott, legalább 180 nap hajózási idő igazolása, és legalább 180 nap a képzési program befejezése utáni időszakból származó hajózási időt igazolása","")</f>
        <v/>
      </c>
      <c r="M20" s="275"/>
      <c r="N20" s="275"/>
      <c r="O20" s="275"/>
      <c r="P20" s="275"/>
      <c r="Q20" s="276"/>
      <c r="R20" s="64"/>
    </row>
    <row r="21" spans="2:18" ht="33" customHeight="1" x14ac:dyDescent="0.25">
      <c r="B21" s="158" t="s">
        <v>193</v>
      </c>
      <c r="C21" s="158"/>
      <c r="D21" s="158" t="s">
        <v>194</v>
      </c>
      <c r="E21" s="158"/>
      <c r="F21" s="158" t="s">
        <v>204</v>
      </c>
      <c r="G21" s="158"/>
      <c r="H21" s="278" t="s">
        <v>200</v>
      </c>
      <c r="J21" s="238" t="s">
        <v>84</v>
      </c>
      <c r="K21" s="9"/>
      <c r="L21" s="274" t="str">
        <f>IF(OR(R4,R5,R8,R9,R10,R11,R12,R13,R14&lt;4)=TRUE,"","Legalább 540 nap hajózási idő igazolása, vagy legalább 180 nap hajózási idő igazolása és további, tengeri hajón a fedélzeti személyzet tagjaként megszerzett, legalább 500 nap munkatapasztalat igazolása")</f>
        <v>Legalább 540 nap hajózási idő igazolása, vagy legalább 180 nap hajózási idő igazolása és további, tengeri hajón a fedélzeti személyzet tagjaként megszerzett, legalább 500 nap munkatapasztalat igazolása</v>
      </c>
      <c r="M21" s="275"/>
      <c r="N21" s="275"/>
      <c r="O21" s="275"/>
      <c r="P21" s="275"/>
      <c r="Q21" s="276"/>
      <c r="R21" s="64"/>
    </row>
    <row r="22" spans="2:18" ht="21" customHeight="1" x14ac:dyDescent="0.25">
      <c r="B22" s="278" t="s">
        <v>195</v>
      </c>
      <c r="C22" s="278" t="s">
        <v>196</v>
      </c>
      <c r="D22" s="278" t="s">
        <v>197</v>
      </c>
      <c r="E22" s="278" t="s">
        <v>198</v>
      </c>
      <c r="F22" s="278" t="s">
        <v>199</v>
      </c>
      <c r="G22" s="278" t="s">
        <v>198</v>
      </c>
      <c r="H22" s="278"/>
      <c r="I22" s="171"/>
      <c r="J22" s="238"/>
      <c r="K22" s="9"/>
      <c r="L22" s="236" t="str">
        <f>IF(R10=TRUE,"Legalább két év kompvezetői hajózási idő igazolása","")</f>
        <v/>
      </c>
      <c r="M22" s="149"/>
      <c r="N22" s="149"/>
      <c r="O22" s="149"/>
      <c r="P22" s="149"/>
      <c r="Q22" s="237"/>
      <c r="R22" s="25"/>
    </row>
    <row r="23" spans="2:18" ht="15" customHeight="1" x14ac:dyDescent="0.25">
      <c r="B23" s="278"/>
      <c r="C23" s="278"/>
      <c r="D23" s="278"/>
      <c r="E23" s="278"/>
      <c r="F23" s="278"/>
      <c r="G23" s="278"/>
      <c r="H23" s="278"/>
      <c r="I23" s="171"/>
      <c r="J23" s="238"/>
      <c r="L23" s="90"/>
      <c r="M23" s="89"/>
      <c r="N23" s="89"/>
      <c r="O23" s="89"/>
      <c r="P23" s="89"/>
      <c r="Q23" s="91"/>
      <c r="R23" s="25"/>
    </row>
    <row r="24" spans="2:18" ht="20.25" customHeight="1" thickBot="1" x14ac:dyDescent="0.3">
      <c r="B24" s="278"/>
      <c r="C24" s="278"/>
      <c r="D24" s="278"/>
      <c r="E24" s="278"/>
      <c r="F24" s="278"/>
      <c r="G24" s="278"/>
      <c r="H24" s="278"/>
      <c r="I24" s="171"/>
      <c r="J24" s="238"/>
      <c r="L24" s="92"/>
      <c r="M24" s="93"/>
      <c r="N24" s="93"/>
      <c r="O24" s="93"/>
      <c r="P24" s="93"/>
      <c r="Q24" s="94"/>
      <c r="R24" s="25"/>
    </row>
    <row r="25" spans="2:18" ht="19.5" customHeight="1" x14ac:dyDescent="0.25">
      <c r="B25" s="81" t="s">
        <v>201</v>
      </c>
      <c r="C25" s="81" t="s">
        <v>202</v>
      </c>
      <c r="D25" s="81" t="s">
        <v>203</v>
      </c>
      <c r="E25" s="81" t="s">
        <v>203</v>
      </c>
      <c r="F25" s="81" t="s">
        <v>199</v>
      </c>
      <c r="G25" s="81" t="s">
        <v>202</v>
      </c>
      <c r="H25" s="81" t="s">
        <v>203</v>
      </c>
      <c r="I25" s="171"/>
      <c r="J25" s="238"/>
      <c r="L25" s="18"/>
      <c r="M25" s="18"/>
      <c r="N25" s="18"/>
      <c r="O25" s="18"/>
      <c r="P25" s="18"/>
      <c r="Q25" s="18"/>
    </row>
    <row r="26" spans="2:18" ht="19.5" customHeight="1" x14ac:dyDescent="0.25">
      <c r="B26" s="80">
        <f>IF(OR($R$4,$R$5,$R$6,$R$10)=TRUE,"",KEZDŐLAP!F25)</f>
        <v>10800</v>
      </c>
      <c r="C26" s="80">
        <f>IF(OR($R$4,$R$5,$R$10)=TRUE,"",KEZDŐLAP!F26)</f>
        <v>17400</v>
      </c>
      <c r="D26" s="80">
        <f>IF(OR($R$4,$R$5,$R$7,$R$10)=TRUE,"",KEZDŐLAP!F29)</f>
        <v>28300</v>
      </c>
      <c r="E26" s="80">
        <f>IF(OR($R$4,$R$5,R7,$R$10)=TRUE,"",KEZDŐLAP!F29)</f>
        <v>28300</v>
      </c>
      <c r="F26" s="80">
        <f>IF(OR($R$4,$R$5,$R$10)=TRUE,"",KEZDŐLAP!F28)</f>
        <v>21800</v>
      </c>
      <c r="G26" s="80">
        <f>IF(OR($R$4,$R$5,$R$10)=TRUE,"",KEZDŐLAP!F26)</f>
        <v>17400</v>
      </c>
      <c r="H26" s="74">
        <f>IF(OR($R$4,$R$5,$R$10)=TRUE,"",KEZDŐLAP!F29)</f>
        <v>28300</v>
      </c>
      <c r="J26" s="76">
        <f>KEZDŐLAP!F30</f>
        <v>6500</v>
      </c>
      <c r="L26" s="18"/>
      <c r="M26" s="18"/>
      <c r="N26" s="18"/>
      <c r="O26" s="18"/>
      <c r="P26" s="18"/>
      <c r="Q26" s="18"/>
    </row>
    <row r="27" spans="2:18" ht="19.5" customHeight="1" x14ac:dyDescent="0.25">
      <c r="F27" s="82" t="s">
        <v>12</v>
      </c>
      <c r="G27" s="277">
        <f>SUM(B26:H26)</f>
        <v>152300</v>
      </c>
      <c r="H27" s="277"/>
      <c r="L27" s="18"/>
      <c r="M27" s="18"/>
      <c r="N27" s="18"/>
      <c r="O27" s="18"/>
      <c r="P27" s="18"/>
      <c r="Q27" s="18"/>
    </row>
    <row r="28" spans="2:18" ht="15.75" customHeight="1" x14ac:dyDescent="0.25">
      <c r="J28" s="273" t="s">
        <v>119</v>
      </c>
      <c r="K28" s="17"/>
      <c r="L28" s="17"/>
      <c r="M28" s="17"/>
      <c r="N28" s="17"/>
      <c r="O28" s="17"/>
      <c r="P28" s="17"/>
      <c r="Q28" s="17"/>
      <c r="R28" s="17"/>
    </row>
    <row r="29" spans="2:18" ht="15.75" customHeight="1" x14ac:dyDescent="0.25">
      <c r="J29" s="273"/>
      <c r="K29" s="17"/>
      <c r="L29" s="17"/>
      <c r="M29" s="17"/>
      <c r="N29" s="17"/>
      <c r="O29" s="17"/>
      <c r="P29" s="17"/>
      <c r="Q29" s="17"/>
      <c r="R29" s="17"/>
    </row>
    <row r="30" spans="2:18" ht="15.75" customHeight="1" x14ac:dyDescent="0.25">
      <c r="J30" s="273"/>
      <c r="K30" s="17"/>
      <c r="L30" s="17"/>
      <c r="M30" s="17"/>
      <c r="N30" s="17"/>
      <c r="O30" s="17"/>
      <c r="P30" s="17"/>
      <c r="Q30" s="17"/>
      <c r="R30" s="17"/>
    </row>
    <row r="31" spans="2:18" ht="15.75" customHeight="1" x14ac:dyDescent="0.25">
      <c r="J31" s="273"/>
      <c r="L31" s="17"/>
      <c r="M31" s="17"/>
      <c r="N31" s="17"/>
      <c r="O31" s="17"/>
      <c r="P31" s="17"/>
      <c r="Q31" s="17"/>
      <c r="R31" s="17"/>
    </row>
    <row r="32" spans="2:18" ht="15.75" customHeight="1" x14ac:dyDescent="0.25">
      <c r="J32" s="83">
        <f>SUM(B26:J26)</f>
        <v>158800</v>
      </c>
      <c r="K32" s="17"/>
      <c r="L32" s="17"/>
      <c r="M32" s="17"/>
      <c r="N32" s="17"/>
      <c r="O32" s="17"/>
      <c r="P32" s="17"/>
      <c r="Q32" s="17"/>
      <c r="R32" s="17"/>
    </row>
    <row r="33" spans="11:18" ht="15.75" customHeight="1" x14ac:dyDescent="0.25">
      <c r="K33" s="17"/>
      <c r="L33" s="17"/>
      <c r="M33" s="17"/>
      <c r="N33" s="17"/>
      <c r="O33" s="17"/>
      <c r="P33" s="17"/>
      <c r="Q33" s="17"/>
      <c r="R33" s="17"/>
    </row>
    <row r="34" spans="11:18" x14ac:dyDescent="0.25">
      <c r="K34" s="17"/>
      <c r="L34" s="17"/>
      <c r="M34" s="17"/>
      <c r="N34" s="17"/>
      <c r="O34" s="17"/>
      <c r="P34" s="17"/>
      <c r="Q34" s="17"/>
      <c r="R34" s="17"/>
    </row>
  </sheetData>
  <sheetProtection sheet="1" selectLockedCells="1"/>
  <protectedRanges>
    <protectedRange password="EFFA" sqref="N31:P31 K2:R2 M13:M19 L7 L13 J32 N30:Q30 L9:L11 R3:R24 O3:Q5 L3:L5 O1:Q1 B1:M1 K32 O13:O14 L23 M22:Q22 O23:Q23 M3:M11 N17:N19 O8:Q12 L12:M12 O16:O19 N15 P13:Q19 N34:P34 L31 L28:R29 R31:R33 J30 A25:A27 K3:K26 B3:J19 B20:G21 I26:J27 H20 B27:G27 I20:J21 J23:J25 L21:M21 O21:Q21 M20:Q20 M25:Q27 L25 K28" name="Tartomány1"/>
    <protectedRange password="EFFA" sqref="L14 L17:L20 L8 L26:L27 L22" name="Tartomány1_2"/>
    <protectedRange password="EFFA" sqref="L6 O6:Q6" name="Tartomány1_1"/>
    <protectedRange password="EFFA" sqref="A1" name="Tartomány1_3"/>
    <protectedRange password="EFFA" sqref="J28" name="Tartomány1_6"/>
    <protectedRange password="EFFA" sqref="B2:J2" name="Tartomány1_7"/>
  </protectedRanges>
  <mergeCells count="36">
    <mergeCell ref="L13:M17"/>
    <mergeCell ref="P13:Q17"/>
    <mergeCell ref="N15:O15"/>
    <mergeCell ref="B22:B24"/>
    <mergeCell ref="C22:C24"/>
    <mergeCell ref="D22:D24"/>
    <mergeCell ref="E22:E24"/>
    <mergeCell ref="F22:F24"/>
    <mergeCell ref="I22:I25"/>
    <mergeCell ref="L10:Q10"/>
    <mergeCell ref="B1:J1"/>
    <mergeCell ref="L1:Q1"/>
    <mergeCell ref="B2:J2"/>
    <mergeCell ref="B3:J3"/>
    <mergeCell ref="L3:Q3"/>
    <mergeCell ref="L5:Q5"/>
    <mergeCell ref="L6:Q6"/>
    <mergeCell ref="L7:Q8"/>
    <mergeCell ref="L9:Q9"/>
    <mergeCell ref="L4:Q4"/>
    <mergeCell ref="L11:Q11"/>
    <mergeCell ref="L12:Q12"/>
    <mergeCell ref="L18:Q18"/>
    <mergeCell ref="J28:J31"/>
    <mergeCell ref="L19:Q19"/>
    <mergeCell ref="L20:Q20"/>
    <mergeCell ref="L21:Q21"/>
    <mergeCell ref="L22:Q22"/>
    <mergeCell ref="B20:J20"/>
    <mergeCell ref="G27:H27"/>
    <mergeCell ref="J21:J25"/>
    <mergeCell ref="B21:C21"/>
    <mergeCell ref="D21:E21"/>
    <mergeCell ref="F21:G21"/>
    <mergeCell ref="H21:H24"/>
    <mergeCell ref="G22:G24"/>
  </mergeCells>
  <hyperlinks>
    <hyperlink ref="A1" location="KEZDŐLAP!A1" display="X" xr:uid="{EEC2E277-893B-4DBE-91CF-E28C9167F1EE}"/>
  </hyperlinks>
  <pageMargins left="0.7" right="0.7" top="0.75" bottom="0.75" header="0.3" footer="0.3"/>
  <pageSetup paperSize="9"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2337" r:id="rId4" name="Check Box 1">
              <controlPr defaultSize="0" autoFill="0" autoLine="0" autoPict="0">
                <anchor moveWithCells="1">
                  <from>
                    <xdr:col>1</xdr:col>
                    <xdr:colOff>114300</xdr:colOff>
                    <xdr:row>5</xdr:row>
                    <xdr:rowOff>0</xdr:rowOff>
                  </from>
                  <to>
                    <xdr:col>6</xdr:col>
                    <xdr:colOff>571500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38" r:id="rId5" name="Check Box 2">
              <controlPr defaultSize="0" autoFill="0" autoLine="0" autoPict="0">
                <anchor moveWithCells="1">
                  <from>
                    <xdr:col>1</xdr:col>
                    <xdr:colOff>114300</xdr:colOff>
                    <xdr:row>7</xdr:row>
                    <xdr:rowOff>38100</xdr:rowOff>
                  </from>
                  <to>
                    <xdr:col>9</xdr:col>
                    <xdr:colOff>800100</xdr:colOff>
                    <xdr:row>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39" r:id="rId6" name="Check Box 3">
              <controlPr defaultSize="0" autoFill="0" autoLine="0" autoPict="0">
                <anchor moveWithCells="1">
                  <from>
                    <xdr:col>1</xdr:col>
                    <xdr:colOff>104775</xdr:colOff>
                    <xdr:row>8</xdr:row>
                    <xdr:rowOff>95250</xdr:rowOff>
                  </from>
                  <to>
                    <xdr:col>9</xdr:col>
                    <xdr:colOff>771525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43" r:id="rId7" name="Check Box 7">
              <controlPr defaultSize="0" autoFill="0" autoLine="0" autoPict="0">
                <anchor moveWithCells="1">
                  <from>
                    <xdr:col>1</xdr:col>
                    <xdr:colOff>114300</xdr:colOff>
                    <xdr:row>3</xdr:row>
                    <xdr:rowOff>200025</xdr:rowOff>
                  </from>
                  <to>
                    <xdr:col>7</xdr:col>
                    <xdr:colOff>971550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44" r:id="rId8" name="Check Box 8">
              <controlPr defaultSize="0" autoFill="0" autoLine="0" autoPict="0">
                <anchor moveWithCells="1">
                  <from>
                    <xdr:col>1</xdr:col>
                    <xdr:colOff>114300</xdr:colOff>
                    <xdr:row>2</xdr:row>
                    <xdr:rowOff>180975</xdr:rowOff>
                  </from>
                  <to>
                    <xdr:col>6</xdr:col>
                    <xdr:colOff>571500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45" r:id="rId9" name="Check Box 9">
              <controlPr defaultSize="0" autoFill="0" autoLine="0" autoPict="0">
                <anchor moveWithCells="1">
                  <from>
                    <xdr:col>1</xdr:col>
                    <xdr:colOff>114300</xdr:colOff>
                    <xdr:row>5</xdr:row>
                    <xdr:rowOff>209550</xdr:rowOff>
                  </from>
                  <to>
                    <xdr:col>9</xdr:col>
                    <xdr:colOff>923925</xdr:colOff>
                    <xdr:row>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48" r:id="rId10" name="Option Button 12">
              <controlPr defaultSize="0" autoFill="0" autoLine="0" autoPict="0">
                <anchor moveWithCells="1">
                  <from>
                    <xdr:col>1</xdr:col>
                    <xdr:colOff>123825</xdr:colOff>
                    <xdr:row>15</xdr:row>
                    <xdr:rowOff>219075</xdr:rowOff>
                  </from>
                  <to>
                    <xdr:col>9</xdr:col>
                    <xdr:colOff>723900</xdr:colOff>
                    <xdr:row>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49" r:id="rId11" name="Option Button 13">
              <controlPr defaultSize="0" autoFill="0" autoLine="0" autoPict="0">
                <anchor moveWithCells="1">
                  <from>
                    <xdr:col>1</xdr:col>
                    <xdr:colOff>133350</xdr:colOff>
                    <xdr:row>17</xdr:row>
                    <xdr:rowOff>47625</xdr:rowOff>
                  </from>
                  <to>
                    <xdr:col>9</xdr:col>
                    <xdr:colOff>733425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50" r:id="rId12" name="Option Button 14">
              <controlPr defaultSize="0" autoFill="0" autoLine="0" autoPict="0">
                <anchor moveWithCells="1">
                  <from>
                    <xdr:col>1</xdr:col>
                    <xdr:colOff>133350</xdr:colOff>
                    <xdr:row>18</xdr:row>
                    <xdr:rowOff>104775</xdr:rowOff>
                  </from>
                  <to>
                    <xdr:col>9</xdr:col>
                    <xdr:colOff>733425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51" r:id="rId13" name="Option Button 15">
              <controlPr defaultSize="0" autoFill="0" autoLine="0" autoPict="0">
                <anchor moveWithCells="1">
                  <from>
                    <xdr:col>1</xdr:col>
                    <xdr:colOff>123825</xdr:colOff>
                    <xdr:row>14</xdr:row>
                    <xdr:rowOff>171450</xdr:rowOff>
                  </from>
                  <to>
                    <xdr:col>9</xdr:col>
                    <xdr:colOff>723900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52" r:id="rId14" name="Check Box 16">
              <controlPr defaultSize="0" autoFill="0" autoLine="0" autoPict="0">
                <anchor moveWithCells="1">
                  <from>
                    <xdr:col>1</xdr:col>
                    <xdr:colOff>114300</xdr:colOff>
                    <xdr:row>9</xdr:row>
                    <xdr:rowOff>123825</xdr:rowOff>
                  </from>
                  <to>
                    <xdr:col>9</xdr:col>
                    <xdr:colOff>781050</xdr:colOff>
                    <xdr:row>10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09CE3-186B-4011-A9B5-CDF6DFDECF2E}">
  <sheetPr>
    <tabColor rgb="FFFFC000"/>
  </sheetPr>
  <dimension ref="A1:Q24"/>
  <sheetViews>
    <sheetView workbookViewId="0">
      <selection activeCell="Q2" sqref="Q2"/>
    </sheetView>
  </sheetViews>
  <sheetFormatPr defaultRowHeight="15" x14ac:dyDescent="0.25"/>
  <cols>
    <col min="1" max="1" width="3.42578125" customWidth="1"/>
    <col min="2" max="5" width="10.5703125" customWidth="1"/>
    <col min="6" max="9" width="4.7109375" customWidth="1"/>
    <col min="10" max="10" width="3.5703125" customWidth="1"/>
    <col min="11" max="11" width="31.7109375" customWidth="1"/>
    <col min="12" max="12" width="3.140625" customWidth="1"/>
    <col min="13" max="16" width="17.5703125" customWidth="1"/>
    <col min="17" max="17" width="1.28515625" customWidth="1"/>
  </cols>
  <sheetData>
    <row r="1" spans="1:17" x14ac:dyDescent="0.25">
      <c r="A1" s="26" t="s">
        <v>43</v>
      </c>
      <c r="B1" s="147" t="s">
        <v>124</v>
      </c>
      <c r="C1" s="147"/>
      <c r="D1" s="147"/>
      <c r="E1" s="147"/>
      <c r="F1" s="147"/>
      <c r="G1" s="147"/>
      <c r="H1" s="147"/>
      <c r="I1" s="147"/>
      <c r="K1" s="5" t="s">
        <v>1</v>
      </c>
      <c r="M1" s="147" t="s">
        <v>133</v>
      </c>
      <c r="N1" s="147"/>
      <c r="O1" s="147"/>
      <c r="P1" s="147"/>
    </row>
    <row r="2" spans="1:17" ht="13.5" customHeight="1" x14ac:dyDescent="0.25">
      <c r="B2" s="176" t="s">
        <v>123</v>
      </c>
      <c r="C2" s="176"/>
      <c r="D2" s="176"/>
      <c r="E2" s="176"/>
      <c r="F2" s="176"/>
      <c r="G2" s="176"/>
      <c r="H2" s="176"/>
      <c r="I2" s="176"/>
      <c r="K2" s="1"/>
      <c r="Q2" s="24"/>
    </row>
    <row r="3" spans="1:17" ht="21.75" customHeight="1" x14ac:dyDescent="0.25">
      <c r="B3" s="8"/>
      <c r="C3" s="8"/>
      <c r="D3" s="8"/>
      <c r="E3" s="8"/>
      <c r="F3" s="8"/>
      <c r="G3" s="8"/>
      <c r="H3" s="8"/>
      <c r="I3" s="8"/>
      <c r="K3" s="149" t="str">
        <f>IF($E$19&gt;0,"A vizsgát megelőző 10 év során, legalább 8 hegymeneti és 8 völgymeneti út igazolt megtétele a teljes szakaszon (a 2017/2397 irányelv hatálya alá tartozó vízijárművön, fedélzeti személyzet tagjaként)
","")</f>
        <v/>
      </c>
      <c r="M3" s="175" t="str">
        <f>IF(E19=0,"Kérem válasszon szakaszt","Írásos vizsgajelentkezési kérelem és okmányigénylés")</f>
        <v>Kérem válasszon szakaszt</v>
      </c>
      <c r="N3" s="175"/>
      <c r="O3" s="175"/>
      <c r="P3" s="175"/>
      <c r="Q3" s="64"/>
    </row>
    <row r="4" spans="1:17" ht="21.75" customHeight="1" x14ac:dyDescent="0.25">
      <c r="B4" s="8"/>
      <c r="C4" s="8"/>
      <c r="D4" s="8"/>
      <c r="E4" s="8"/>
      <c r="F4" s="8"/>
      <c r="G4" s="8"/>
      <c r="H4" s="8"/>
      <c r="I4" s="8"/>
      <c r="K4" s="149"/>
      <c r="M4" s="178"/>
      <c r="N4" s="178"/>
      <c r="O4" s="178"/>
      <c r="P4" s="178"/>
      <c r="Q4" s="64" t="b">
        <v>0</v>
      </c>
    </row>
    <row r="5" spans="1:17" ht="21.75" customHeight="1" x14ac:dyDescent="0.25">
      <c r="B5" s="8"/>
      <c r="C5" s="8"/>
      <c r="D5" s="8"/>
      <c r="E5" s="8"/>
      <c r="F5" s="8"/>
      <c r="G5" s="8"/>
      <c r="H5" s="8"/>
      <c r="I5" s="8"/>
      <c r="K5" s="149"/>
      <c r="M5" s="178" t="str">
        <f>IF(E19=0,"","Személyazonosság igazolása")</f>
        <v/>
      </c>
      <c r="N5" s="178"/>
      <c r="O5" s="178"/>
      <c r="P5" s="178"/>
      <c r="Q5" s="64" t="b">
        <v>0</v>
      </c>
    </row>
    <row r="6" spans="1:17" ht="21.75" customHeight="1" x14ac:dyDescent="0.25">
      <c r="B6" s="8"/>
      <c r="C6" s="8"/>
      <c r="D6" s="8"/>
      <c r="E6" s="8"/>
      <c r="F6" s="8"/>
      <c r="G6" s="8"/>
      <c r="H6" s="8"/>
      <c r="I6" s="8"/>
      <c r="K6" s="149"/>
      <c r="M6" s="175" t="str">
        <f>IF(E19=0,"","Érvényes, a bizonyítvány igénylésének napját megelőző 3 hónapon belül kiállított, fedélzeti szolgálatra szóló egészségi alkalmasság igazolása")</f>
        <v/>
      </c>
      <c r="N6" s="175"/>
      <c r="O6" s="175"/>
      <c r="P6" s="175"/>
      <c r="Q6" s="64" t="b">
        <v>0</v>
      </c>
    </row>
    <row r="7" spans="1:17" ht="21.75" customHeight="1" x14ac:dyDescent="0.25">
      <c r="B7" s="8"/>
      <c r="C7" s="8"/>
      <c r="D7" s="8"/>
      <c r="E7" s="8"/>
      <c r="F7" s="8"/>
      <c r="G7" s="8"/>
      <c r="H7" s="8"/>
      <c r="I7" s="8"/>
      <c r="K7" s="149"/>
      <c r="M7" s="175"/>
      <c r="N7" s="175"/>
      <c r="O7" s="175"/>
      <c r="P7" s="175"/>
      <c r="Q7" s="64"/>
    </row>
    <row r="8" spans="1:17" ht="21.75" customHeight="1" x14ac:dyDescent="0.25">
      <c r="B8" s="8"/>
      <c r="C8" s="8"/>
      <c r="D8" s="8"/>
      <c r="E8" s="8"/>
      <c r="F8" s="8"/>
      <c r="G8" s="8"/>
      <c r="H8" s="8"/>
      <c r="I8" s="8"/>
      <c r="K8" s="149"/>
      <c r="M8" s="175" t="str">
        <f>IF(E19=0,"","UNIÓS hajóvezetői bizonyítvány megléte, vagy 
A vagy B kategóriájú hajóvezetői bizonyítvány megléte, vagy
a hajóvezetők számára szükséges uniós képesítő bizonyítványok megszerzéséhez a jogszabály által meghatározott minimumkövetelményeket teljesítése")</f>
        <v/>
      </c>
      <c r="N8" s="175"/>
      <c r="O8" s="175"/>
      <c r="P8" s="175"/>
      <c r="Q8" s="64"/>
    </row>
    <row r="9" spans="1:17" ht="21.75" customHeight="1" x14ac:dyDescent="0.25">
      <c r="B9" s="8"/>
      <c r="C9" s="8"/>
      <c r="D9" s="8"/>
      <c r="E9" s="8"/>
      <c r="F9" s="8"/>
      <c r="G9" s="8"/>
      <c r="H9" s="8"/>
      <c r="I9" s="8"/>
      <c r="K9" s="229" t="str">
        <f>IF($E$19&gt;0,"A 8 hegymeneti és 8 völgymeneti útból legalább hármat a vizsgát megelőző 3 évben kell megtenni
","")</f>
        <v/>
      </c>
      <c r="M9" s="175"/>
      <c r="N9" s="175"/>
      <c r="O9" s="175"/>
      <c r="P9" s="175"/>
      <c r="Q9" s="64"/>
    </row>
    <row r="10" spans="1:17" ht="21.75" customHeight="1" x14ac:dyDescent="0.25">
      <c r="B10" s="8"/>
      <c r="C10" s="8"/>
      <c r="D10" s="8"/>
      <c r="E10" s="8"/>
      <c r="F10" s="8"/>
      <c r="G10" s="8"/>
      <c r="H10" s="8"/>
      <c r="I10" s="8"/>
      <c r="J10" s="9"/>
      <c r="K10" s="229"/>
      <c r="M10" s="175"/>
      <c r="N10" s="175"/>
      <c r="O10" s="175"/>
      <c r="P10" s="175"/>
      <c r="Q10" s="64"/>
    </row>
    <row r="11" spans="1:17" ht="21.75" customHeight="1" x14ac:dyDescent="0.25">
      <c r="B11" s="8"/>
      <c r="C11" s="8"/>
      <c r="D11" s="8"/>
      <c r="E11" s="8"/>
      <c r="F11" s="8"/>
      <c r="G11" s="8"/>
      <c r="H11" s="8"/>
      <c r="I11" s="8"/>
      <c r="K11" s="229"/>
      <c r="M11" s="175"/>
      <c r="N11" s="175"/>
      <c r="O11" s="175"/>
      <c r="P11" s="175"/>
      <c r="Q11" s="64"/>
    </row>
    <row r="12" spans="1:17" ht="21.75" customHeight="1" x14ac:dyDescent="0.25">
      <c r="B12" s="8"/>
      <c r="C12" s="8"/>
      <c r="D12" s="8"/>
      <c r="E12" s="8"/>
      <c r="F12" s="8"/>
      <c r="G12" s="8"/>
      <c r="H12" s="8"/>
      <c r="I12" s="8"/>
      <c r="K12" s="229"/>
      <c r="M12" s="178" t="str">
        <f>IF(E19=0,"","2 db színes igazolványkép")</f>
        <v/>
      </c>
      <c r="N12" s="178"/>
      <c r="O12" s="178"/>
      <c r="P12" s="178"/>
      <c r="Q12" s="64"/>
    </row>
    <row r="13" spans="1:17" ht="21.75" customHeight="1" x14ac:dyDescent="0.25">
      <c r="B13" s="8"/>
      <c r="C13" s="8"/>
      <c r="D13" s="8"/>
      <c r="E13" s="8"/>
      <c r="F13" s="8"/>
      <c r="G13" s="8"/>
      <c r="H13" s="8"/>
      <c r="I13" s="8"/>
      <c r="K13" s="229"/>
      <c r="M13" s="175" t="str">
        <f>IF(E19=0,"","Díj befizetésének igazolása")</f>
        <v/>
      </c>
      <c r="N13" s="175"/>
      <c r="O13" s="175"/>
      <c r="P13" s="175"/>
      <c r="Q13" s="64"/>
    </row>
    <row r="14" spans="1:17" ht="8.25" customHeight="1" x14ac:dyDescent="0.25">
      <c r="M14" s="196"/>
      <c r="N14" s="196"/>
      <c r="O14" s="196"/>
      <c r="P14" s="196"/>
    </row>
    <row r="15" spans="1:17" x14ac:dyDescent="0.25">
      <c r="B15" s="158" t="s">
        <v>128</v>
      </c>
      <c r="C15" s="158"/>
      <c r="D15" s="158"/>
      <c r="E15" s="44"/>
      <c r="K15" s="1" t="s">
        <v>119</v>
      </c>
      <c r="M15" s="198" t="s">
        <v>132</v>
      </c>
      <c r="N15" s="198"/>
      <c r="O15" s="198"/>
      <c r="P15" s="198"/>
    </row>
    <row r="16" spans="1:17" s="2" customFormat="1" ht="124.5" customHeight="1" x14ac:dyDescent="0.25">
      <c r="B16" s="3" t="s">
        <v>125</v>
      </c>
      <c r="C16" s="3" t="s">
        <v>126</v>
      </c>
      <c r="D16" s="3" t="s">
        <v>127</v>
      </c>
      <c r="E16" s="3" t="s">
        <v>84</v>
      </c>
      <c r="F16" s="37"/>
      <c r="G16" s="37"/>
      <c r="H16" s="37"/>
      <c r="K16" s="43">
        <f>SUM(E18:E19)</f>
        <v>0</v>
      </c>
      <c r="L16" s="17"/>
      <c r="M16" s="287" t="s">
        <v>130</v>
      </c>
      <c r="N16" s="287"/>
      <c r="O16" s="287"/>
      <c r="P16" s="287"/>
    </row>
    <row r="17" spans="2:16" s="2" customFormat="1" ht="15.75" customHeight="1" x14ac:dyDescent="0.25">
      <c r="B17" s="6" t="str">
        <f>IF(B18&lt;&gt;0,"Vizsga","")</f>
        <v/>
      </c>
      <c r="C17" s="6" t="str">
        <f t="shared" ref="C17:D17" si="0">IF(C18&lt;&gt;0,"Vizsga","")</f>
        <v/>
      </c>
      <c r="D17" s="6" t="str">
        <f t="shared" si="0"/>
        <v/>
      </c>
      <c r="E17" s="42" t="s">
        <v>85</v>
      </c>
      <c r="F17" s="36"/>
      <c r="G17" s="36"/>
      <c r="H17" s="36"/>
      <c r="L17" s="17"/>
      <c r="M17" s="17"/>
      <c r="N17" s="17"/>
      <c r="O17" s="17"/>
      <c r="P17" s="17"/>
    </row>
    <row r="18" spans="2:16" s="1" customFormat="1" x14ac:dyDescent="0.25">
      <c r="B18" s="33">
        <f>IF($Q$4=TRUE,KEZDŐLAP!F25,0)</f>
        <v>0</v>
      </c>
      <c r="C18" s="33">
        <f>IF($Q$5=TRUE,KEZDŐLAP!F25,0)</f>
        <v>0</v>
      </c>
      <c r="D18" s="33">
        <f>IF($Q$6=TRUE,KEZDŐLAP!F25,0)</f>
        <v>0</v>
      </c>
      <c r="E18" s="66">
        <f>IF(E19=0,0,KEZDŐLAP!F30)</f>
        <v>0</v>
      </c>
      <c r="F18" s="70"/>
      <c r="G18" s="70"/>
      <c r="H18" s="70"/>
      <c r="K18" s="2"/>
      <c r="L18" s="17"/>
      <c r="M18" s="17"/>
      <c r="N18" s="17"/>
      <c r="O18" s="17"/>
      <c r="P18" s="17"/>
    </row>
    <row r="19" spans="2:16" x14ac:dyDescent="0.25">
      <c r="B19" s="194" t="s">
        <v>88</v>
      </c>
      <c r="C19" s="286"/>
      <c r="D19" s="195"/>
      <c r="E19" s="33">
        <f>SUM(B18:D18)</f>
        <v>0</v>
      </c>
      <c r="F19" s="19"/>
      <c r="L19" s="17"/>
      <c r="M19" s="17"/>
      <c r="N19" s="17"/>
      <c r="O19" s="17"/>
      <c r="P19" s="17"/>
    </row>
    <row r="20" spans="2:16" x14ac:dyDescent="0.25">
      <c r="L20" s="17"/>
      <c r="M20" s="17"/>
      <c r="N20" s="17"/>
      <c r="O20" s="17"/>
      <c r="P20" s="17"/>
    </row>
    <row r="21" spans="2:16" x14ac:dyDescent="0.25">
      <c r="L21" s="17"/>
      <c r="M21" s="17"/>
      <c r="N21" s="17"/>
      <c r="O21" s="17"/>
      <c r="P21" s="17"/>
    </row>
    <row r="22" spans="2:16" x14ac:dyDescent="0.25">
      <c r="L22" s="17"/>
      <c r="M22" s="17"/>
      <c r="N22" s="17"/>
      <c r="O22" s="17"/>
      <c r="P22" s="17"/>
    </row>
    <row r="23" spans="2:16" x14ac:dyDescent="0.25">
      <c r="L23" s="17"/>
      <c r="M23" s="17"/>
      <c r="N23" s="17"/>
      <c r="O23" s="17"/>
      <c r="P23" s="17"/>
    </row>
    <row r="24" spans="2:16" x14ac:dyDescent="0.25">
      <c r="L24" s="17"/>
      <c r="M24" s="17"/>
      <c r="N24" s="17"/>
      <c r="O24" s="17"/>
      <c r="P24" s="17"/>
    </row>
  </sheetData>
  <sheetProtection sheet="1" selectLockedCells="1"/>
  <protectedRanges>
    <protectedRange password="EFFA" sqref="L3:P4 Q3:Q13 K9 L15:P15 M8 F16:H18 B1:P1 J2:Q2 A14:A18 B3:J12 J17:K18 K16 B13:D18 E13:J15 N6:P10 K14 N12:P13 M6 M12:M13 M9:M10 L5:L14 M14:P14" name="Tartomány1"/>
    <protectedRange password="EFFA" sqref="K3:K8 K10:K12" name="Tartomány1_2"/>
    <protectedRange password="EFFA" sqref="M5:P5" name="Tartomány1_1"/>
    <protectedRange password="EFFA" sqref="A1" name="Tartomány1_3"/>
    <protectedRange password="EFFA" sqref="B2:I2" name="Tartomány1_4"/>
    <protectedRange password="EFFA" sqref="E16:E18" name="Tartomány1_5"/>
    <protectedRange password="EFFA" sqref="K15" name="Tartomány1_6"/>
    <protectedRange password="EFFA" sqref="L16:O18" name="Tartomány1_2_1"/>
  </protectedRanges>
  <mergeCells count="17">
    <mergeCell ref="M8:P11"/>
    <mergeCell ref="M6:P7"/>
    <mergeCell ref="M15:P15"/>
    <mergeCell ref="B19:D19"/>
    <mergeCell ref="K3:K8"/>
    <mergeCell ref="K9:K13"/>
    <mergeCell ref="M13:P13"/>
    <mergeCell ref="M16:P16"/>
    <mergeCell ref="M12:P12"/>
    <mergeCell ref="M14:P14"/>
    <mergeCell ref="B15:D15"/>
    <mergeCell ref="M5:P5"/>
    <mergeCell ref="B1:I1"/>
    <mergeCell ref="M1:P1"/>
    <mergeCell ref="B2:I2"/>
    <mergeCell ref="M3:P3"/>
    <mergeCell ref="M4:P4"/>
  </mergeCells>
  <conditionalFormatting sqref="B17:H17">
    <cfRule type="containsText" dxfId="49" priority="1" operator="containsText" text="Vizsga">
      <formula>NOT(ISERROR(SEARCH("Vizsga",B17)))</formula>
    </cfRule>
    <cfRule type="containsText" dxfId="48" priority="2" operator="containsText" text="&quot;Vizsga&quot;">
      <formula>NOT(ISERROR(SEARCH("""Vizsga""",B17)))</formula>
    </cfRule>
  </conditionalFormatting>
  <hyperlinks>
    <hyperlink ref="A1" location="KEZDŐLAP!A1" display="X" xr:uid="{C7B30B18-42CA-4437-BB41-DCF7E294A749}"/>
  </hyperlinks>
  <pageMargins left="0.7" right="0.7" top="0.75" bottom="0.75" header="0.3" footer="0.3"/>
  <pageSetup paperSize="9"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8546" r:id="rId4" name="Check Box 2">
              <controlPr defaultSize="0" autoFill="0" autoLine="0" autoPict="0">
                <anchor moveWithCells="1">
                  <from>
                    <xdr:col>1</xdr:col>
                    <xdr:colOff>438150</xdr:colOff>
                    <xdr:row>4</xdr:row>
                    <xdr:rowOff>180975</xdr:rowOff>
                  </from>
                  <to>
                    <xdr:col>8</xdr:col>
                    <xdr:colOff>266700</xdr:colOff>
                    <xdr:row>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47" r:id="rId5" name="Check Box 3">
              <controlPr defaultSize="0" autoFill="0" autoLine="0" autoPict="0">
                <anchor moveWithCells="1">
                  <from>
                    <xdr:col>1</xdr:col>
                    <xdr:colOff>438150</xdr:colOff>
                    <xdr:row>3</xdr:row>
                    <xdr:rowOff>171450</xdr:rowOff>
                  </from>
                  <to>
                    <xdr:col>8</xdr:col>
                    <xdr:colOff>228600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51" r:id="rId6" name="Check Box 7">
              <controlPr defaultSize="0" autoFill="0" autoLine="0" autoPict="0">
                <anchor moveWithCells="1">
                  <from>
                    <xdr:col>1</xdr:col>
                    <xdr:colOff>438150</xdr:colOff>
                    <xdr:row>2</xdr:row>
                    <xdr:rowOff>161925</xdr:rowOff>
                  </from>
                  <to>
                    <xdr:col>8</xdr:col>
                    <xdr:colOff>304800</xdr:colOff>
                    <xdr:row>3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68EFF-60DA-471C-B65A-1203E5134A78}">
  <sheetPr>
    <tabColor rgb="FFFFC000"/>
  </sheetPr>
  <dimension ref="A1:X24"/>
  <sheetViews>
    <sheetView workbookViewId="0"/>
  </sheetViews>
  <sheetFormatPr defaultRowHeight="15" x14ac:dyDescent="0.25"/>
  <cols>
    <col min="1" max="1" width="3.42578125" customWidth="1"/>
    <col min="2" max="15" width="8.42578125" customWidth="1"/>
    <col min="16" max="16" width="10.28515625" customWidth="1"/>
    <col min="17" max="17" width="2.28515625" customWidth="1"/>
    <col min="18" max="18" width="31" customWidth="1"/>
    <col min="19" max="19" width="1.85546875" customWidth="1"/>
    <col min="20" max="23" width="16.85546875" customWidth="1"/>
    <col min="24" max="24" width="1.42578125" customWidth="1"/>
  </cols>
  <sheetData>
    <row r="1" spans="1:24" x14ac:dyDescent="0.25">
      <c r="A1" s="26" t="s">
        <v>43</v>
      </c>
      <c r="B1" s="69"/>
      <c r="C1" s="69"/>
      <c r="D1" s="147" t="s">
        <v>176</v>
      </c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R1" s="5" t="s">
        <v>1</v>
      </c>
      <c r="T1" s="147" t="s">
        <v>133</v>
      </c>
      <c r="U1" s="147"/>
      <c r="V1" s="147"/>
      <c r="W1" s="147"/>
    </row>
    <row r="2" spans="1:24" ht="13.5" customHeight="1" x14ac:dyDescent="0.25">
      <c r="B2" s="8"/>
      <c r="C2" s="8"/>
      <c r="D2" s="176" t="s">
        <v>123</v>
      </c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R2" s="1"/>
      <c r="X2" s="64" t="b">
        <v>0</v>
      </c>
    </row>
    <row r="3" spans="1:24" ht="21.75" customHeight="1" x14ac:dyDescent="0.25">
      <c r="A3" s="51"/>
      <c r="B3" s="123"/>
      <c r="C3" s="123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R3" s="149" t="str">
        <f>IF($P$19&gt;0,"A vizsgát megelőző 10 év során, legalább 8 hegymeneti és 8 völgymeneti út igazolt megtétele a teljes szakaszon (matróz vagy magasabb beosztásban, nagyhajón, vagy személyhajón teljesítve)
","")</f>
        <v/>
      </c>
      <c r="T3" s="175" t="str">
        <f>IF(P19=0,"Kérem válasszon szakaszt","Írásos vizsgajelentkezési kérelem és okmányigénylés")</f>
        <v>Kérem válasszon szakaszt</v>
      </c>
      <c r="U3" s="175"/>
      <c r="V3" s="175"/>
      <c r="W3" s="175"/>
      <c r="X3" s="64" t="b">
        <v>0</v>
      </c>
    </row>
    <row r="4" spans="1:24" ht="21.75" customHeight="1" x14ac:dyDescent="0.25">
      <c r="A4" s="51"/>
      <c r="B4" s="123"/>
      <c r="C4" s="123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R4" s="149"/>
      <c r="T4" s="178"/>
      <c r="U4" s="178"/>
      <c r="V4" s="178"/>
      <c r="W4" s="178"/>
      <c r="X4" s="64" t="b">
        <v>0</v>
      </c>
    </row>
    <row r="5" spans="1:24" ht="21.75" customHeight="1" x14ac:dyDescent="0.25">
      <c r="A5" s="51"/>
      <c r="B5" s="123"/>
      <c r="C5" s="123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R5" s="149"/>
      <c r="T5" s="178" t="str">
        <f>IF(P19=0,"","Személyazonosság igazolása")</f>
        <v/>
      </c>
      <c r="U5" s="178"/>
      <c r="V5" s="178"/>
      <c r="W5" s="178"/>
      <c r="X5" s="64" t="b">
        <v>0</v>
      </c>
    </row>
    <row r="6" spans="1:24" ht="21.75" customHeight="1" x14ac:dyDescent="0.25">
      <c r="A6" s="51"/>
      <c r="B6" s="123"/>
      <c r="C6" s="123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R6" s="149"/>
      <c r="T6" s="175" t="str">
        <f>IF(P19=0,"","Érvényes, a bizonyítvány igénylésének napját megelőző 3 hónapon belül kiállított, fedélzeti szolgálatra szóló egészségi alkalmasság igazolása")</f>
        <v/>
      </c>
      <c r="U6" s="175"/>
      <c r="V6" s="175"/>
      <c r="W6" s="175"/>
      <c r="X6" s="64" t="b">
        <v>0</v>
      </c>
    </row>
    <row r="7" spans="1:24" ht="21.75" customHeight="1" x14ac:dyDescent="0.25">
      <c r="A7" s="51"/>
      <c r="B7" s="123"/>
      <c r="C7" s="123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R7" s="149"/>
      <c r="T7" s="175"/>
      <c r="U7" s="175"/>
      <c r="V7" s="175"/>
      <c r="W7" s="175"/>
      <c r="X7" s="64" t="b">
        <v>0</v>
      </c>
    </row>
    <row r="8" spans="1:24" ht="21.75" customHeight="1" x14ac:dyDescent="0.25">
      <c r="A8" s="51"/>
      <c r="B8" s="123"/>
      <c r="C8" s="123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R8" s="149"/>
      <c r="T8" s="175" t="str">
        <f>IF(P19=0,"","UNIÓS hajóvezetői bizonyítvány megléte, vagy 
A vagy B vagy C kategóriájú hajóvezetői képesítés megléte, vagy
a hajóvezetők számára szükséges uniós képesítő bizonyítványok megszerzéséhez a jogszabály által meghatározott minimumkövetelményeket teljesítése.")</f>
        <v/>
      </c>
      <c r="U8" s="175"/>
      <c r="V8" s="175"/>
      <c r="W8" s="175"/>
      <c r="X8" s="64" t="b">
        <v>0</v>
      </c>
    </row>
    <row r="9" spans="1:24" ht="21.75" customHeight="1" x14ac:dyDescent="0.25">
      <c r="A9" s="51"/>
      <c r="B9" s="123"/>
      <c r="C9" s="123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R9" s="229" t="str">
        <f>IF($P$19&gt;0,"A 8 hegymeneti és 8 völgymeneti útból legalább hármat a vizsgát megelőző 3 évben kell megtenni
","")</f>
        <v/>
      </c>
      <c r="T9" s="175"/>
      <c r="U9" s="175"/>
      <c r="V9" s="175"/>
      <c r="W9" s="175"/>
      <c r="X9" s="64"/>
    </row>
    <row r="10" spans="1:24" ht="21.75" customHeight="1" x14ac:dyDescent="0.25">
      <c r="A10" s="51"/>
      <c r="B10" s="123"/>
      <c r="C10" s="12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9"/>
      <c r="R10" s="229"/>
      <c r="T10" s="175"/>
      <c r="U10" s="175"/>
      <c r="V10" s="175"/>
      <c r="W10" s="175"/>
      <c r="X10" s="64"/>
    </row>
    <row r="11" spans="1:24" ht="21.75" customHeight="1" x14ac:dyDescent="0.25">
      <c r="A11" s="51"/>
      <c r="B11" s="123"/>
      <c r="C11" s="123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R11" s="229"/>
      <c r="T11" s="175"/>
      <c r="U11" s="175"/>
      <c r="V11" s="175"/>
      <c r="W11" s="175"/>
      <c r="X11" s="64" t="b">
        <v>0</v>
      </c>
    </row>
    <row r="12" spans="1:24" ht="21.75" customHeight="1" x14ac:dyDescent="0.25">
      <c r="A12" s="51"/>
      <c r="B12" s="123"/>
      <c r="C12" s="123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R12" s="229"/>
      <c r="T12" s="178" t="str">
        <f>IF(P19=0,"","2 db színes igazolványkép")</f>
        <v/>
      </c>
      <c r="U12" s="178"/>
      <c r="V12" s="178"/>
      <c r="W12" s="178"/>
      <c r="X12" s="64" t="b">
        <v>0</v>
      </c>
    </row>
    <row r="13" spans="1:24" ht="21.75" customHeight="1" x14ac:dyDescent="0.25">
      <c r="A13" s="51"/>
      <c r="B13" s="123"/>
      <c r="C13" s="123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R13" s="229"/>
      <c r="T13" s="175" t="str">
        <f>IF(P19=0,"","Díj befizetésének igazolása")</f>
        <v/>
      </c>
      <c r="U13" s="175"/>
      <c r="V13" s="175"/>
      <c r="W13" s="175"/>
      <c r="X13" s="64"/>
    </row>
    <row r="14" spans="1:24" ht="8.25" customHeight="1" x14ac:dyDescent="0.25">
      <c r="T14" s="196"/>
      <c r="U14" s="196"/>
      <c r="V14" s="196"/>
      <c r="W14" s="196"/>
    </row>
    <row r="15" spans="1:24" x14ac:dyDescent="0.25">
      <c r="B15" s="196" t="s">
        <v>128</v>
      </c>
      <c r="C15" s="196"/>
      <c r="D15" s="196"/>
      <c r="E15" s="196"/>
      <c r="F15" s="196"/>
      <c r="G15" s="196"/>
      <c r="H15" s="196"/>
      <c r="I15" s="196"/>
      <c r="J15" s="196"/>
      <c r="K15" s="196"/>
      <c r="L15" s="196"/>
      <c r="M15" s="196"/>
      <c r="N15" s="196"/>
      <c r="O15" s="196"/>
      <c r="P15" s="289"/>
      <c r="R15" s="1" t="s">
        <v>119</v>
      </c>
      <c r="T15" s="198" t="s">
        <v>132</v>
      </c>
      <c r="U15" s="198"/>
      <c r="V15" s="198"/>
      <c r="W15" s="198"/>
    </row>
    <row r="16" spans="1:24" s="2" customFormat="1" ht="139.5" customHeight="1" x14ac:dyDescent="0.25">
      <c r="B16" s="3" t="s">
        <v>267</v>
      </c>
      <c r="C16" s="3" t="s">
        <v>268</v>
      </c>
      <c r="D16" s="3" t="s">
        <v>177</v>
      </c>
      <c r="E16" s="3" t="s">
        <v>178</v>
      </c>
      <c r="F16" s="3" t="s">
        <v>179</v>
      </c>
      <c r="G16" s="3" t="s">
        <v>180</v>
      </c>
      <c r="H16" s="3" t="s">
        <v>181</v>
      </c>
      <c r="I16" s="3" t="s">
        <v>182</v>
      </c>
      <c r="J16" s="3" t="s">
        <v>183</v>
      </c>
      <c r="K16" s="3" t="s">
        <v>184</v>
      </c>
      <c r="L16" s="3" t="s">
        <v>185</v>
      </c>
      <c r="M16" s="3" t="s">
        <v>186</v>
      </c>
      <c r="N16" s="3" t="s">
        <v>187</v>
      </c>
      <c r="O16" s="3" t="s">
        <v>188</v>
      </c>
      <c r="P16" s="3" t="s">
        <v>84</v>
      </c>
      <c r="R16" s="43">
        <f>SUM(P18:P19)</f>
        <v>0</v>
      </c>
      <c r="S16" s="17"/>
      <c r="T16" s="287" t="s">
        <v>130</v>
      </c>
      <c r="U16" s="287"/>
      <c r="V16" s="287"/>
      <c r="W16" s="287"/>
    </row>
    <row r="17" spans="2:23" s="2" customFormat="1" ht="15.75" customHeight="1" x14ac:dyDescent="0.25">
      <c r="B17" s="124" t="str">
        <f t="shared" ref="B17:C17" si="0">IF(B18&lt;&gt;0,"Vizsga","")</f>
        <v/>
      </c>
      <c r="C17" s="124" t="str">
        <f t="shared" si="0"/>
        <v/>
      </c>
      <c r="D17" s="124" t="str">
        <f>IF(D18&lt;&gt;0,"Vizsga","")</f>
        <v/>
      </c>
      <c r="E17" s="124" t="str">
        <f>IF(E18&lt;&gt;0,"Vizsga","")</f>
        <v/>
      </c>
      <c r="F17" s="124" t="str">
        <f t="shared" ref="F17:O17" si="1">IF(F18&lt;&gt;0,"Vizsga","")</f>
        <v/>
      </c>
      <c r="G17" s="124" t="str">
        <f t="shared" si="1"/>
        <v/>
      </c>
      <c r="H17" s="124" t="str">
        <f t="shared" si="1"/>
        <v/>
      </c>
      <c r="I17" s="124" t="str">
        <f t="shared" si="1"/>
        <v/>
      </c>
      <c r="J17" s="124" t="str">
        <f t="shared" si="1"/>
        <v/>
      </c>
      <c r="K17" s="124" t="str">
        <f t="shared" si="1"/>
        <v/>
      </c>
      <c r="L17" s="124" t="str">
        <f t="shared" si="1"/>
        <v/>
      </c>
      <c r="M17" s="124" t="str">
        <f t="shared" si="1"/>
        <v/>
      </c>
      <c r="N17" s="124" t="str">
        <f t="shared" si="1"/>
        <v/>
      </c>
      <c r="O17" s="124" t="str">
        <f t="shared" si="1"/>
        <v/>
      </c>
      <c r="P17" s="42" t="s">
        <v>85</v>
      </c>
      <c r="S17" s="17"/>
      <c r="T17" s="17"/>
      <c r="U17" s="17"/>
      <c r="V17" s="17"/>
      <c r="W17" s="17"/>
    </row>
    <row r="18" spans="2:23" s="1" customFormat="1" x14ac:dyDescent="0.25">
      <c r="B18" s="125">
        <f>IF($X$2=TRUE,KEZDŐLAP!F25,0)</f>
        <v>0</v>
      </c>
      <c r="C18" s="125">
        <f>IF($X$3=TRUE,KEZDŐLAP!F25,0)</f>
        <v>0</v>
      </c>
      <c r="D18" s="125">
        <f>IF($X$4=TRUE,KEZDŐLAP!F25,0)</f>
        <v>0</v>
      </c>
      <c r="E18" s="125">
        <f>IF($X$4=TRUE,KEZDŐLAP!F26,0)</f>
        <v>0</v>
      </c>
      <c r="F18" s="125">
        <f>IF($X$5=TRUE,KEZDŐLAP!F25,0)</f>
        <v>0</v>
      </c>
      <c r="G18" s="125">
        <f>IF($X$5=TRUE,KEZDŐLAP!F26,0)</f>
        <v>0</v>
      </c>
      <c r="H18" s="125">
        <f>IF($X$6=TRUE,KEZDŐLAP!F25,0)</f>
        <v>0</v>
      </c>
      <c r="I18" s="125">
        <f>IF($X$6=TRUE,KEZDŐLAP!F26,0)</f>
        <v>0</v>
      </c>
      <c r="J18" s="125">
        <f>IF($X$7=TRUE,KEZDŐLAP!F25,0)</f>
        <v>0</v>
      </c>
      <c r="K18" s="125">
        <f>IF($X$7=TRUE,KEZDŐLAP!F26,0)</f>
        <v>0</v>
      </c>
      <c r="L18" s="125">
        <f>IF($X$8=TRUE,KEZDŐLAP!F25,0)</f>
        <v>0</v>
      </c>
      <c r="M18" s="125">
        <f>IF($X$8=TRUE,KEZDŐLAP!F26,0)</f>
        <v>0</v>
      </c>
      <c r="N18" s="125">
        <f>IF($X$11=TRUE,KEZDŐLAP!F25,0)</f>
        <v>0</v>
      </c>
      <c r="O18" s="125">
        <f>IF($X$12=TRUE,KEZDŐLAP!F25,0)</f>
        <v>0</v>
      </c>
      <c r="P18" s="66">
        <f>IF(P19=0,0,KEZDŐLAP!F30)</f>
        <v>0</v>
      </c>
      <c r="R18" s="2"/>
      <c r="S18" s="17"/>
      <c r="T18" s="17"/>
      <c r="U18" s="17"/>
      <c r="V18" s="17"/>
      <c r="W18" s="17"/>
    </row>
    <row r="19" spans="2:23" x14ac:dyDescent="0.25">
      <c r="B19" s="288" t="s">
        <v>88</v>
      </c>
      <c r="C19" s="288"/>
      <c r="D19" s="288"/>
      <c r="E19" s="288"/>
      <c r="F19" s="288"/>
      <c r="G19" s="288"/>
      <c r="H19" s="288"/>
      <c r="I19" s="288"/>
      <c r="J19" s="288"/>
      <c r="K19" s="288"/>
      <c r="L19" s="288"/>
      <c r="M19" s="288"/>
      <c r="N19" s="288"/>
      <c r="O19" s="288"/>
      <c r="P19" s="33">
        <f>SUM(B18:O18)</f>
        <v>0</v>
      </c>
      <c r="S19" s="17"/>
      <c r="T19" s="17"/>
      <c r="U19" s="17"/>
      <c r="V19" s="17"/>
      <c r="W19" s="17"/>
    </row>
    <row r="20" spans="2:23" x14ac:dyDescent="0.25">
      <c r="S20" s="17"/>
      <c r="T20" s="17"/>
      <c r="U20" s="17"/>
      <c r="V20" s="17"/>
      <c r="W20" s="17"/>
    </row>
    <row r="21" spans="2:23" x14ac:dyDescent="0.25">
      <c r="S21" s="17"/>
      <c r="T21" s="17"/>
      <c r="U21" s="17"/>
      <c r="V21" s="17"/>
      <c r="W21" s="17"/>
    </row>
    <row r="22" spans="2:23" x14ac:dyDescent="0.25">
      <c r="S22" s="17"/>
      <c r="T22" s="17"/>
      <c r="U22" s="17"/>
      <c r="V22" s="17"/>
      <c r="W22" s="17"/>
    </row>
    <row r="23" spans="2:23" x14ac:dyDescent="0.25">
      <c r="S23" s="17"/>
      <c r="T23" s="17"/>
      <c r="U23" s="17"/>
      <c r="V23" s="17"/>
      <c r="W23" s="17"/>
    </row>
    <row r="24" spans="2:23" x14ac:dyDescent="0.25">
      <c r="S24" s="17"/>
      <c r="T24" s="17"/>
      <c r="U24" s="17"/>
      <c r="V24" s="17"/>
      <c r="W24" s="17"/>
    </row>
  </sheetData>
  <sheetProtection sheet="1" selectLockedCells="1"/>
  <protectedRanges>
    <protectedRange password="EFFA" sqref="S3:W4 X3:X13 R9 S15:W15 P1:W1 Q2:X2 D16:D18 Q17:R18 R16 U6:W10 R14 T6 T12:W14 T8:T10 S5:S14 P13:Q15 D3:O12 D13:D14 A14:C18 E13:N18 P3:Q12 D1:N1 O13:O18 O1" name="Tartomány1"/>
    <protectedRange password="EFFA" sqref="R3:R8 R10:R12" name="Tartomány1_2"/>
    <protectedRange password="EFFA" sqref="T5:W5" name="Tartomány1_1"/>
    <protectedRange password="EFFA" sqref="A1:C1" name="Tartomány1_3"/>
    <protectedRange password="EFFA" sqref="P2 D2:N2 O2" name="Tartomány1_4"/>
    <protectedRange password="EFFA" sqref="P16:P18" name="Tartomány1_5"/>
    <protectedRange password="EFFA" sqref="R15" name="Tartomány1_6"/>
    <protectedRange password="EFFA" sqref="S16:V18" name="Tartomány1_2_1"/>
  </protectedRanges>
  <mergeCells count="17">
    <mergeCell ref="D1:P1"/>
    <mergeCell ref="T1:W1"/>
    <mergeCell ref="D2:P2"/>
    <mergeCell ref="R3:R8"/>
    <mergeCell ref="T3:W3"/>
    <mergeCell ref="T4:W4"/>
    <mergeCell ref="T5:W5"/>
    <mergeCell ref="T6:W7"/>
    <mergeCell ref="T8:W11"/>
    <mergeCell ref="R9:R13"/>
    <mergeCell ref="B19:O19"/>
    <mergeCell ref="T12:W12"/>
    <mergeCell ref="T13:W13"/>
    <mergeCell ref="T14:W14"/>
    <mergeCell ref="B15:P15"/>
    <mergeCell ref="T15:W15"/>
    <mergeCell ref="T16:W16"/>
  </mergeCells>
  <conditionalFormatting sqref="B17:P17">
    <cfRule type="containsText" dxfId="47" priority="1" operator="containsText" text="Vizsga">
      <formula>NOT(ISERROR(SEARCH("Vizsga",B17)))</formula>
    </cfRule>
    <cfRule type="containsText" dxfId="46" priority="2" operator="containsText" text="&quot;Vizsga&quot;">
      <formula>NOT(ISERROR(SEARCH("""Vizsga""",B17)))</formula>
    </cfRule>
  </conditionalFormatting>
  <hyperlinks>
    <hyperlink ref="A1" location="KEZDŐLAP!A1" display="X" xr:uid="{1E4ACE86-B370-4349-ACC8-FB16B3E4B101}"/>
  </hyperlinks>
  <pageMargins left="0.7" right="0.7" top="0.75" bottom="0.75" header="0.3" footer="0.3"/>
  <pageSetup paperSize="9"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6673" r:id="rId4" name="Check Box 1">
              <controlPr defaultSize="0" autoFill="0" autoLine="0" autoPict="0">
                <anchor moveWithCells="1">
                  <from>
                    <xdr:col>3</xdr:col>
                    <xdr:colOff>447675</xdr:colOff>
                    <xdr:row>6</xdr:row>
                    <xdr:rowOff>209550</xdr:rowOff>
                  </from>
                  <to>
                    <xdr:col>10</xdr:col>
                    <xdr:colOff>104775</xdr:colOff>
                    <xdr:row>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74" r:id="rId5" name="Check Box 2">
              <controlPr defaultSize="0" autoFill="0" autoLine="0" autoPict="0">
                <anchor moveWithCells="1">
                  <from>
                    <xdr:col>3</xdr:col>
                    <xdr:colOff>447675</xdr:colOff>
                    <xdr:row>5</xdr:row>
                    <xdr:rowOff>200025</xdr:rowOff>
                  </from>
                  <to>
                    <xdr:col>10</xdr:col>
                    <xdr:colOff>66675</xdr:colOff>
                    <xdr:row>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75" r:id="rId6" name="Check Box 3">
              <controlPr defaultSize="0" autoFill="0" autoLine="0" autoPict="0">
                <anchor moveWithCells="1">
                  <from>
                    <xdr:col>3</xdr:col>
                    <xdr:colOff>447675</xdr:colOff>
                    <xdr:row>4</xdr:row>
                    <xdr:rowOff>180975</xdr:rowOff>
                  </from>
                  <to>
                    <xdr:col>10</xdr:col>
                    <xdr:colOff>142875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76" r:id="rId7" name="Check Box 4">
              <controlPr defaultSize="0" autoFill="0" autoLine="0" autoPict="0">
                <anchor moveWithCells="1">
                  <from>
                    <xdr:col>3</xdr:col>
                    <xdr:colOff>447675</xdr:colOff>
                    <xdr:row>7</xdr:row>
                    <xdr:rowOff>247650</xdr:rowOff>
                  </from>
                  <to>
                    <xdr:col>10</xdr:col>
                    <xdr:colOff>66675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77" r:id="rId8" name="Check Box 5">
              <controlPr defaultSize="0" autoFill="0" autoLine="0" autoPict="0">
                <anchor moveWithCells="1">
                  <from>
                    <xdr:col>3</xdr:col>
                    <xdr:colOff>447675</xdr:colOff>
                    <xdr:row>8</xdr:row>
                    <xdr:rowOff>257175</xdr:rowOff>
                  </from>
                  <to>
                    <xdr:col>10</xdr:col>
                    <xdr:colOff>66675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78" r:id="rId9" name="Check Box 6">
              <controlPr defaultSize="0" autoFill="0" autoLine="0" autoPict="0">
                <anchor moveWithCells="1">
                  <from>
                    <xdr:col>3</xdr:col>
                    <xdr:colOff>447675</xdr:colOff>
                    <xdr:row>10</xdr:row>
                    <xdr:rowOff>209550</xdr:rowOff>
                  </from>
                  <to>
                    <xdr:col>10</xdr:col>
                    <xdr:colOff>66675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79" r:id="rId10" name="Check Box 7">
              <controlPr defaultSize="0" autoFill="0" autoLine="0" autoPict="0">
                <anchor moveWithCells="1">
                  <from>
                    <xdr:col>3</xdr:col>
                    <xdr:colOff>447675</xdr:colOff>
                    <xdr:row>11</xdr:row>
                    <xdr:rowOff>257175</xdr:rowOff>
                  </from>
                  <to>
                    <xdr:col>10</xdr:col>
                    <xdr:colOff>66675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80" r:id="rId11" name="Check Box 8">
              <controlPr defaultSize="0" autoFill="0" autoLine="0" autoPict="0">
                <anchor moveWithCells="1">
                  <from>
                    <xdr:col>3</xdr:col>
                    <xdr:colOff>447675</xdr:colOff>
                    <xdr:row>2</xdr:row>
                    <xdr:rowOff>161925</xdr:rowOff>
                  </from>
                  <to>
                    <xdr:col>10</xdr:col>
                    <xdr:colOff>142875</xdr:colOff>
                    <xdr:row>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81" r:id="rId12" name="Check Box 9">
              <controlPr defaultSize="0" autoFill="0" autoLine="0" autoPict="0">
                <anchor moveWithCells="1">
                  <from>
                    <xdr:col>3</xdr:col>
                    <xdr:colOff>447675</xdr:colOff>
                    <xdr:row>3</xdr:row>
                    <xdr:rowOff>171450</xdr:rowOff>
                  </from>
                  <to>
                    <xdr:col>10</xdr:col>
                    <xdr:colOff>142875</xdr:colOff>
                    <xdr:row>4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CCC8F-6479-4894-83B9-718B73359ACD}">
  <sheetPr>
    <tabColor rgb="FFFFC000"/>
  </sheetPr>
  <dimension ref="A1:R24"/>
  <sheetViews>
    <sheetView workbookViewId="0"/>
  </sheetViews>
  <sheetFormatPr defaultRowHeight="15" x14ac:dyDescent="0.25"/>
  <cols>
    <col min="1" max="1" width="3.42578125" customWidth="1"/>
    <col min="2" max="9" width="7.7109375" customWidth="1"/>
    <col min="10" max="10" width="10" customWidth="1"/>
    <col min="11" max="11" width="3.5703125" customWidth="1"/>
    <col min="12" max="12" width="31.7109375" customWidth="1"/>
    <col min="13" max="13" width="3.140625" customWidth="1"/>
    <col min="14" max="17" width="19.7109375" customWidth="1"/>
    <col min="18" max="18" width="1.5703125" customWidth="1"/>
  </cols>
  <sheetData>
    <row r="1" spans="1:18" x14ac:dyDescent="0.25">
      <c r="A1" s="26" t="s">
        <v>43</v>
      </c>
      <c r="B1" s="147" t="s">
        <v>242</v>
      </c>
      <c r="C1" s="147"/>
      <c r="D1" s="147"/>
      <c r="E1" s="147"/>
      <c r="F1" s="147"/>
      <c r="G1" s="147"/>
      <c r="H1" s="147"/>
      <c r="I1" s="147"/>
      <c r="J1" s="147"/>
      <c r="L1" s="5" t="s">
        <v>1</v>
      </c>
      <c r="N1" s="147" t="s">
        <v>133</v>
      </c>
      <c r="O1" s="147"/>
      <c r="P1" s="147"/>
      <c r="Q1" s="147"/>
    </row>
    <row r="2" spans="1:18" ht="13.5" customHeight="1" x14ac:dyDescent="0.25">
      <c r="B2" s="176" t="s">
        <v>123</v>
      </c>
      <c r="C2" s="176"/>
      <c r="D2" s="176"/>
      <c r="E2" s="176"/>
      <c r="F2" s="176"/>
      <c r="G2" s="176"/>
      <c r="H2" s="176"/>
      <c r="I2" s="176"/>
      <c r="J2" s="176"/>
      <c r="L2" s="1"/>
      <c r="R2" s="24"/>
    </row>
    <row r="3" spans="1:18" ht="21.75" customHeight="1" x14ac:dyDescent="0.25">
      <c r="B3" s="8"/>
      <c r="C3" s="8"/>
      <c r="D3" s="8"/>
      <c r="E3" s="8"/>
      <c r="F3" s="8"/>
      <c r="G3" s="8"/>
      <c r="H3" s="8"/>
      <c r="I3" s="8"/>
      <c r="J3" s="8"/>
      <c r="L3" s="149" t="s">
        <v>241</v>
      </c>
      <c r="N3" s="175" t="str">
        <f>IF(J19=0,"Kérem válasszon szakaszt","Írásos vizsgajelentkezési kérelem és okmányigénylés")</f>
        <v>Kérem válasszon szakaszt</v>
      </c>
      <c r="O3" s="175"/>
      <c r="P3" s="175"/>
      <c r="Q3" s="175"/>
      <c r="R3" s="64"/>
    </row>
    <row r="4" spans="1:18" ht="43.5" customHeight="1" x14ac:dyDescent="0.25">
      <c r="B4" s="290" t="s">
        <v>252</v>
      </c>
      <c r="C4" s="290"/>
      <c r="D4" s="290"/>
      <c r="E4" s="290"/>
      <c r="F4" s="290"/>
      <c r="G4" s="290"/>
      <c r="H4" s="290"/>
      <c r="I4" s="290"/>
      <c r="J4" s="290"/>
      <c r="L4" s="149"/>
      <c r="N4" s="175" t="str">
        <f>IF(J19=0,"","Annak igazolása (nyilatkozat), hogy az utak során a jelölt a hajó kormányállásában tartózkodott, valamint legalább az egyik úton önállóan kormányozta a hajót és kezelte a meghajtó berendezést.")</f>
        <v/>
      </c>
      <c r="O4" s="175"/>
      <c r="P4" s="175"/>
      <c r="Q4" s="175"/>
      <c r="R4" s="64" t="b">
        <v>0</v>
      </c>
    </row>
    <row r="5" spans="1:18" ht="21.75" customHeight="1" x14ac:dyDescent="0.25">
      <c r="B5" s="8"/>
      <c r="C5" s="8"/>
      <c r="D5" s="8"/>
      <c r="E5" s="8"/>
      <c r="F5" s="8"/>
      <c r="G5" s="8"/>
      <c r="H5" s="8"/>
      <c r="I5" s="8"/>
      <c r="J5" s="8"/>
      <c r="L5" s="149"/>
      <c r="N5" s="178" t="str">
        <f>IF(J19=0,"","Személyazonosság igazolása")</f>
        <v/>
      </c>
      <c r="O5" s="178"/>
      <c r="P5" s="178"/>
      <c r="Q5" s="178"/>
      <c r="R5" s="64" t="b">
        <v>0</v>
      </c>
    </row>
    <row r="6" spans="1:18" ht="21.75" customHeight="1" x14ac:dyDescent="0.25">
      <c r="B6" s="8"/>
      <c r="C6" s="8"/>
      <c r="D6" s="8"/>
      <c r="E6" s="8"/>
      <c r="F6" s="8"/>
      <c r="G6" s="8"/>
      <c r="H6" s="8"/>
      <c r="I6" s="8"/>
      <c r="J6" s="8"/>
      <c r="L6" s="149"/>
      <c r="N6" s="175" t="str">
        <f>IF(J19=0,"","Érvényes, a bizonyítvány igénylésének napját megelőző 3 hónapon belül kiállított, fedélzeti szolgálatra szóló egészségi alkalmasság igazolása")</f>
        <v/>
      </c>
      <c r="O6" s="175"/>
      <c r="P6" s="175"/>
      <c r="Q6" s="175"/>
      <c r="R6" s="64" t="b">
        <v>0</v>
      </c>
    </row>
    <row r="7" spans="1:18" ht="21.75" customHeight="1" x14ac:dyDescent="0.25">
      <c r="B7" s="8"/>
      <c r="C7" s="8"/>
      <c r="D7" s="8"/>
      <c r="E7" s="8"/>
      <c r="F7" s="8"/>
      <c r="G7" s="8"/>
      <c r="H7" s="8"/>
      <c r="I7" s="8"/>
      <c r="J7" s="8"/>
      <c r="L7" s="149"/>
      <c r="N7" s="175"/>
      <c r="O7" s="175"/>
      <c r="P7" s="175"/>
      <c r="Q7" s="175"/>
      <c r="R7" s="64" t="b">
        <v>0</v>
      </c>
    </row>
    <row r="8" spans="1:18" ht="21.75" customHeight="1" x14ac:dyDescent="0.25">
      <c r="B8" s="8"/>
      <c r="C8" s="8"/>
      <c r="D8" s="8"/>
      <c r="E8" s="8"/>
      <c r="F8" s="8"/>
      <c r="G8" s="8"/>
      <c r="H8" s="8"/>
      <c r="I8" s="8"/>
      <c r="J8" s="8"/>
      <c r="L8" s="149"/>
      <c r="N8" s="175" t="str">
        <f>IF(J19=0,"","UNIÓS hajóvezetői bizonyítvány megléte, vagy 
A vagy B kategóriájú hajóvezetői bizonyítvány megléte")</f>
        <v/>
      </c>
      <c r="O8" s="175"/>
      <c r="P8" s="175"/>
      <c r="Q8" s="175"/>
      <c r="R8" s="64" t="b">
        <v>0</v>
      </c>
    </row>
    <row r="9" spans="1:18" ht="21.75" customHeight="1" x14ac:dyDescent="0.25">
      <c r="B9" s="8"/>
      <c r="C9" s="8"/>
      <c r="D9" s="8"/>
      <c r="E9" s="8"/>
      <c r="F9" s="8"/>
      <c r="G9" s="8"/>
      <c r="H9" s="8"/>
      <c r="I9" s="8"/>
      <c r="J9" s="8"/>
      <c r="L9" s="229"/>
      <c r="N9" s="175"/>
      <c r="O9" s="175"/>
      <c r="P9" s="175"/>
      <c r="Q9" s="175"/>
      <c r="R9" s="64" t="b">
        <v>0</v>
      </c>
    </row>
    <row r="10" spans="1:18" ht="21.75" customHeight="1" x14ac:dyDescent="0.25">
      <c r="B10" s="8"/>
      <c r="C10" s="8"/>
      <c r="D10" s="8"/>
      <c r="E10" s="8"/>
      <c r="F10" s="8"/>
      <c r="G10" s="8"/>
      <c r="H10" s="8"/>
      <c r="I10" s="8"/>
      <c r="J10" s="8"/>
      <c r="K10" s="9"/>
      <c r="L10" s="229"/>
      <c r="N10" s="175"/>
      <c r="O10" s="175"/>
      <c r="P10" s="175"/>
      <c r="Q10" s="175"/>
      <c r="R10" s="64" t="b">
        <v>0</v>
      </c>
    </row>
    <row r="11" spans="1:18" ht="21.75" customHeight="1" x14ac:dyDescent="0.25">
      <c r="B11" s="8"/>
      <c r="C11" s="8"/>
      <c r="D11" s="8"/>
      <c r="E11" s="8"/>
      <c r="F11" s="8"/>
      <c r="G11" s="8"/>
      <c r="H11" s="8"/>
      <c r="I11" s="8"/>
      <c r="J11" s="8"/>
      <c r="L11" s="229"/>
      <c r="N11" s="175"/>
      <c r="O11" s="175"/>
      <c r="P11" s="175"/>
      <c r="Q11" s="175"/>
      <c r="R11" s="64" t="b">
        <v>0</v>
      </c>
    </row>
    <row r="12" spans="1:18" ht="21.75" customHeight="1" x14ac:dyDescent="0.25">
      <c r="B12" s="8"/>
      <c r="C12" s="8"/>
      <c r="D12" s="8"/>
      <c r="E12" s="8"/>
      <c r="F12" s="8"/>
      <c r="G12" s="8"/>
      <c r="H12" s="8"/>
      <c r="I12" s="8"/>
      <c r="J12" s="8"/>
      <c r="L12" s="229"/>
      <c r="N12" s="178" t="str">
        <f>IF(J19=0,"","2 db színes igazolványkép")</f>
        <v/>
      </c>
      <c r="O12" s="178"/>
      <c r="P12" s="178"/>
      <c r="Q12" s="178"/>
      <c r="R12" s="64"/>
    </row>
    <row r="13" spans="1:18" ht="21.75" customHeight="1" x14ac:dyDescent="0.25">
      <c r="B13" s="8"/>
      <c r="C13" s="8"/>
      <c r="D13" s="8"/>
      <c r="E13" s="8"/>
      <c r="F13" s="8"/>
      <c r="G13" s="8"/>
      <c r="H13" s="8"/>
      <c r="I13" s="8"/>
      <c r="J13" s="8"/>
      <c r="L13" s="229"/>
      <c r="N13" s="175" t="str">
        <f>IF(J19=0,"","Díj befizetésének igazolása")</f>
        <v/>
      </c>
      <c r="O13" s="175"/>
      <c r="P13" s="175"/>
      <c r="Q13" s="175"/>
      <c r="R13" s="64"/>
    </row>
    <row r="14" spans="1:18" ht="8.25" customHeight="1" x14ac:dyDescent="0.25">
      <c r="N14" s="196"/>
      <c r="O14" s="196"/>
      <c r="P14" s="196"/>
      <c r="Q14" s="196"/>
    </row>
    <row r="15" spans="1:18" x14ac:dyDescent="0.25">
      <c r="B15" s="158" t="s">
        <v>128</v>
      </c>
      <c r="C15" s="158"/>
      <c r="D15" s="158"/>
      <c r="E15" s="158"/>
      <c r="F15" s="158"/>
      <c r="G15" s="158"/>
      <c r="H15" s="158"/>
      <c r="I15" s="158"/>
      <c r="J15" s="44"/>
      <c r="L15" s="1" t="s">
        <v>119</v>
      </c>
      <c r="N15" s="198" t="s">
        <v>132</v>
      </c>
      <c r="O15" s="198"/>
      <c r="P15" s="198"/>
      <c r="Q15" s="198"/>
    </row>
    <row r="16" spans="1:18" s="2" customFormat="1" ht="124.5" customHeight="1" x14ac:dyDescent="0.25">
      <c r="B16" s="3" t="s">
        <v>243</v>
      </c>
      <c r="C16" s="3" t="s">
        <v>244</v>
      </c>
      <c r="D16" s="3" t="s">
        <v>245</v>
      </c>
      <c r="E16" s="3" t="s">
        <v>246</v>
      </c>
      <c r="F16" s="3" t="s">
        <v>247</v>
      </c>
      <c r="G16" s="3" t="s">
        <v>248</v>
      </c>
      <c r="H16" s="3" t="s">
        <v>249</v>
      </c>
      <c r="I16" s="3" t="s">
        <v>250</v>
      </c>
      <c r="J16" s="3" t="s">
        <v>84</v>
      </c>
      <c r="L16" s="43">
        <f>SUM(J18:J19)</f>
        <v>0</v>
      </c>
      <c r="M16" s="17"/>
      <c r="N16" s="287" t="s">
        <v>251</v>
      </c>
      <c r="O16" s="287"/>
      <c r="P16" s="287"/>
      <c r="Q16" s="287"/>
    </row>
    <row r="17" spans="2:17" s="2" customFormat="1" ht="15.75" customHeight="1" x14ac:dyDescent="0.25">
      <c r="B17" s="6" t="str">
        <f>IF(B18&lt;&gt;0,"Vizsga","")</f>
        <v/>
      </c>
      <c r="C17" s="6" t="str">
        <f t="shared" ref="C17:I17" si="0">IF(C18&lt;&gt;0,"Vizsga","")</f>
        <v/>
      </c>
      <c r="D17" s="6" t="str">
        <f t="shared" si="0"/>
        <v/>
      </c>
      <c r="E17" s="6" t="str">
        <f t="shared" si="0"/>
        <v/>
      </c>
      <c r="F17" s="6" t="str">
        <f t="shared" si="0"/>
        <v/>
      </c>
      <c r="G17" s="6" t="str">
        <f t="shared" si="0"/>
        <v/>
      </c>
      <c r="H17" s="6" t="str">
        <f t="shared" si="0"/>
        <v/>
      </c>
      <c r="I17" s="6" t="str">
        <f t="shared" si="0"/>
        <v/>
      </c>
      <c r="J17" s="42" t="s">
        <v>85</v>
      </c>
      <c r="M17" s="17"/>
      <c r="N17" s="17"/>
      <c r="O17" s="17"/>
      <c r="P17" s="17"/>
      <c r="Q17" s="17"/>
    </row>
    <row r="18" spans="2:17" s="1" customFormat="1" x14ac:dyDescent="0.25">
      <c r="B18" s="109">
        <f>IF($R$4=TRUE,KEZDŐLAP!$F$26,0)</f>
        <v>0</v>
      </c>
      <c r="C18" s="109">
        <f>IF($R$5=TRUE,KEZDŐLAP!$F$26,0)</f>
        <v>0</v>
      </c>
      <c r="D18" s="109">
        <f>IF($R$6=TRUE,KEZDŐLAP!$F$26,0)</f>
        <v>0</v>
      </c>
      <c r="E18" s="109">
        <f>IF($R$7=TRUE,KEZDŐLAP!$F$26,0)</f>
        <v>0</v>
      </c>
      <c r="F18" s="109">
        <f>IF($R$8=TRUE,KEZDŐLAP!$F$26,0)</f>
        <v>0</v>
      </c>
      <c r="G18" s="109">
        <f>IF($R$9=TRUE,KEZDŐLAP!$F$26,0)</f>
        <v>0</v>
      </c>
      <c r="H18" s="109">
        <f>IF($R$10=TRUE,KEZDŐLAP!$F$26,0)</f>
        <v>0</v>
      </c>
      <c r="I18" s="109">
        <f>IF($R$11=TRUE,KEZDŐLAP!$F$26,0)</f>
        <v>0</v>
      </c>
      <c r="J18" s="66">
        <f>IF(J19=0,0,KEZDŐLAP!F30)</f>
        <v>0</v>
      </c>
      <c r="L18" s="2"/>
      <c r="M18" s="17"/>
      <c r="N18" s="17"/>
      <c r="O18" s="17"/>
      <c r="P18" s="17"/>
      <c r="Q18" s="17"/>
    </row>
    <row r="19" spans="2:17" x14ac:dyDescent="0.25">
      <c r="B19" s="288" t="s">
        <v>88</v>
      </c>
      <c r="C19" s="288"/>
      <c r="D19" s="288"/>
      <c r="E19" s="288"/>
      <c r="F19" s="288"/>
      <c r="G19" s="288"/>
      <c r="H19" s="288"/>
      <c r="I19" s="288"/>
      <c r="J19" s="33">
        <f>SUM(B18:I18)</f>
        <v>0</v>
      </c>
      <c r="M19" s="17"/>
      <c r="N19" s="17"/>
      <c r="O19" s="17"/>
      <c r="P19" s="17"/>
      <c r="Q19" s="17"/>
    </row>
    <row r="20" spans="2:17" x14ac:dyDescent="0.25">
      <c r="M20" s="17"/>
      <c r="N20" s="17"/>
      <c r="O20" s="17"/>
      <c r="P20" s="17"/>
      <c r="Q20" s="17"/>
    </row>
    <row r="21" spans="2:17" x14ac:dyDescent="0.25">
      <c r="M21" s="17"/>
      <c r="N21" s="17"/>
      <c r="O21" s="17"/>
      <c r="P21" s="17"/>
      <c r="Q21" s="17"/>
    </row>
    <row r="22" spans="2:17" x14ac:dyDescent="0.25">
      <c r="M22" s="17"/>
      <c r="N22" s="17"/>
      <c r="O22" s="17"/>
      <c r="P22" s="17"/>
      <c r="Q22" s="17"/>
    </row>
    <row r="23" spans="2:17" x14ac:dyDescent="0.25">
      <c r="M23" s="17"/>
      <c r="N23" s="17"/>
      <c r="O23" s="17"/>
      <c r="P23" s="17"/>
      <c r="Q23" s="17"/>
    </row>
    <row r="24" spans="2:17" x14ac:dyDescent="0.25">
      <c r="M24" s="17"/>
      <c r="N24" s="17"/>
      <c r="O24" s="17"/>
      <c r="P24" s="17"/>
      <c r="Q24" s="17"/>
    </row>
  </sheetData>
  <sheetProtection sheet="1" selectLockedCells="1"/>
  <protectedRanges>
    <protectedRange password="EFFA" sqref="M3:Q4 R3:R13 L9 M15:Q15 B1:Q1 K2:R2 A14:A18 B3:K12 K17:L18 L16 B13:D15 O6:Q10 L14 N6 N12:Q14 N8:N10 M5:M14 K13:K15 E13:J14 F15:J15 B16:I18" name="Tartomány1"/>
    <protectedRange password="EFFA" sqref="L3:L8 L10:L12" name="Tartomány1_2"/>
    <protectedRange password="EFFA" sqref="N5:Q5" name="Tartomány1_1"/>
    <protectedRange password="EFFA" sqref="A1" name="Tartomány1_3"/>
    <protectedRange password="EFFA" sqref="B2:J2" name="Tartomány1_4"/>
    <protectedRange password="EFFA" sqref="J16:J18" name="Tartomány1_5"/>
    <protectedRange password="EFFA" sqref="L15" name="Tartomány1_6"/>
    <protectedRange password="EFFA" sqref="M16:P18" name="Tartomány1_2_1"/>
  </protectedRanges>
  <mergeCells count="18">
    <mergeCell ref="N14:Q14"/>
    <mergeCell ref="N15:Q15"/>
    <mergeCell ref="N16:Q16"/>
    <mergeCell ref="B15:I15"/>
    <mergeCell ref="B19:I19"/>
    <mergeCell ref="B1:J1"/>
    <mergeCell ref="N1:Q1"/>
    <mergeCell ref="B2:J2"/>
    <mergeCell ref="L3:L8"/>
    <mergeCell ref="N3:Q3"/>
    <mergeCell ref="N4:Q4"/>
    <mergeCell ref="N5:Q5"/>
    <mergeCell ref="N6:Q7"/>
    <mergeCell ref="N8:Q11"/>
    <mergeCell ref="L9:L13"/>
    <mergeCell ref="N12:Q12"/>
    <mergeCell ref="N13:Q13"/>
    <mergeCell ref="B4:J4"/>
  </mergeCells>
  <conditionalFormatting sqref="B17:J17">
    <cfRule type="containsText" dxfId="45" priority="1" operator="containsText" text="Vizsga">
      <formula>NOT(ISERROR(SEARCH("Vizsga",B17)))</formula>
    </cfRule>
    <cfRule type="containsText" dxfId="44" priority="2" operator="containsText" text="&quot;Vizsga&quot;">
      <formula>NOT(ISERROR(SEARCH("""Vizsga""",B17)))</formula>
    </cfRule>
  </conditionalFormatting>
  <hyperlinks>
    <hyperlink ref="A1" location="KEZDŐLAP!A1" display="X" xr:uid="{6425F8B9-07C1-4E99-93F2-65EFA84FC93E}"/>
  </hyperlinks>
  <pageMargins left="0.7" right="0.7" top="0.75" bottom="0.75" header="0.3" footer="0.3"/>
  <pageSetup paperSize="9"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0531" r:id="rId4" name="Check Box 3">
              <controlPr defaultSize="0" autoFill="0" autoLine="0" autoPict="0">
                <anchor moveWithCells="1">
                  <from>
                    <xdr:col>1</xdr:col>
                    <xdr:colOff>438150</xdr:colOff>
                    <xdr:row>3</xdr:row>
                    <xdr:rowOff>514350</xdr:rowOff>
                  </from>
                  <to>
                    <xdr:col>8</xdr:col>
                    <xdr:colOff>466725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32" r:id="rId5" name="Check Box 4">
              <controlPr defaultSize="0" autoFill="0" autoLine="0" autoPict="0">
                <anchor moveWithCells="1">
                  <from>
                    <xdr:col>1</xdr:col>
                    <xdr:colOff>438150</xdr:colOff>
                    <xdr:row>4</xdr:row>
                    <xdr:rowOff>238125</xdr:rowOff>
                  </from>
                  <to>
                    <xdr:col>8</xdr:col>
                    <xdr:colOff>466725</xdr:colOff>
                    <xdr:row>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33" r:id="rId6" name="Check Box 5">
              <controlPr defaultSize="0" autoFill="0" autoLine="0" autoPict="0">
                <anchor moveWithCells="1">
                  <from>
                    <xdr:col>1</xdr:col>
                    <xdr:colOff>438150</xdr:colOff>
                    <xdr:row>5</xdr:row>
                    <xdr:rowOff>209550</xdr:rowOff>
                  </from>
                  <to>
                    <xdr:col>8</xdr:col>
                    <xdr:colOff>466725</xdr:colOff>
                    <xdr:row>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34" r:id="rId7" name="Check Box 6">
              <controlPr defaultSize="0" autoFill="0" autoLine="0" autoPict="0">
                <anchor moveWithCells="1">
                  <from>
                    <xdr:col>1</xdr:col>
                    <xdr:colOff>438150</xdr:colOff>
                    <xdr:row>6</xdr:row>
                    <xdr:rowOff>190500</xdr:rowOff>
                  </from>
                  <to>
                    <xdr:col>8</xdr:col>
                    <xdr:colOff>466725</xdr:colOff>
                    <xdr:row>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35" r:id="rId8" name="Check Box 7">
              <controlPr defaultSize="0" autoFill="0" autoLine="0" autoPict="0">
                <anchor moveWithCells="1">
                  <from>
                    <xdr:col>1</xdr:col>
                    <xdr:colOff>438150</xdr:colOff>
                    <xdr:row>7</xdr:row>
                    <xdr:rowOff>180975</xdr:rowOff>
                  </from>
                  <to>
                    <xdr:col>8</xdr:col>
                    <xdr:colOff>466725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36" r:id="rId9" name="Check Box 8">
              <controlPr defaultSize="0" autoFill="0" autoLine="0" autoPict="0">
                <anchor moveWithCells="1">
                  <from>
                    <xdr:col>1</xdr:col>
                    <xdr:colOff>438150</xdr:colOff>
                    <xdr:row>8</xdr:row>
                    <xdr:rowOff>161925</xdr:rowOff>
                  </from>
                  <to>
                    <xdr:col>8</xdr:col>
                    <xdr:colOff>466725</xdr:colOff>
                    <xdr:row>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37" r:id="rId10" name="Check Box 9">
              <controlPr defaultSize="0" autoFill="0" autoLine="0" autoPict="0">
                <anchor moveWithCells="1">
                  <from>
                    <xdr:col>1</xdr:col>
                    <xdr:colOff>438150</xdr:colOff>
                    <xdr:row>9</xdr:row>
                    <xdr:rowOff>142875</xdr:rowOff>
                  </from>
                  <to>
                    <xdr:col>8</xdr:col>
                    <xdr:colOff>466725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38" r:id="rId11" name="Check Box 10">
              <controlPr defaultSize="0" autoFill="0" autoLine="0" autoPict="0">
                <anchor moveWithCells="1">
                  <from>
                    <xdr:col>1</xdr:col>
                    <xdr:colOff>438150</xdr:colOff>
                    <xdr:row>10</xdr:row>
                    <xdr:rowOff>133350</xdr:rowOff>
                  </from>
                  <to>
                    <xdr:col>8</xdr:col>
                    <xdr:colOff>466725</xdr:colOff>
                    <xdr:row>11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21DFE-534A-48DD-91F0-FD85A42C4952}">
  <sheetPr>
    <tabColor rgb="FFFFC000"/>
  </sheetPr>
  <dimension ref="A1:L24"/>
  <sheetViews>
    <sheetView workbookViewId="0"/>
  </sheetViews>
  <sheetFormatPr defaultRowHeight="15" x14ac:dyDescent="0.25"/>
  <cols>
    <col min="1" max="1" width="3.42578125" customWidth="1"/>
    <col min="2" max="2" width="38.5703125" customWidth="1"/>
    <col min="3" max="3" width="18" customWidth="1"/>
    <col min="4" max="4" width="10" customWidth="1"/>
    <col min="5" max="5" width="3.5703125" customWidth="1"/>
    <col min="6" max="6" width="31.7109375" customWidth="1"/>
    <col min="7" max="7" width="3.140625" customWidth="1"/>
    <col min="8" max="11" width="19.7109375" customWidth="1"/>
    <col min="12" max="12" width="1.5703125" customWidth="1"/>
  </cols>
  <sheetData>
    <row r="1" spans="1:12" x14ac:dyDescent="0.25">
      <c r="A1" s="26" t="s">
        <v>43</v>
      </c>
      <c r="B1" s="147" t="s">
        <v>242</v>
      </c>
      <c r="C1" s="147"/>
      <c r="D1" s="147"/>
      <c r="F1" s="5" t="s">
        <v>1</v>
      </c>
      <c r="H1" s="147" t="s">
        <v>133</v>
      </c>
      <c r="I1" s="147"/>
      <c r="J1" s="147"/>
      <c r="K1" s="147"/>
    </row>
    <row r="2" spans="1:12" ht="13.5" customHeight="1" x14ac:dyDescent="0.25">
      <c r="B2" s="176" t="s">
        <v>123</v>
      </c>
      <c r="C2" s="176"/>
      <c r="D2" s="176"/>
      <c r="F2" s="1"/>
      <c r="L2" s="24"/>
    </row>
    <row r="3" spans="1:12" ht="21.75" customHeight="1" x14ac:dyDescent="0.25">
      <c r="B3" s="8"/>
      <c r="C3" s="8"/>
      <c r="D3" s="8"/>
      <c r="F3" s="149" t="s">
        <v>241</v>
      </c>
      <c r="H3" s="175" t="str">
        <f>IF(D19=0,"Kérem válasszon szakaszt","Írásos vizsgajelentkezési kérelem és okmányigénylés")</f>
        <v>Kérem válasszon szakaszt</v>
      </c>
      <c r="I3" s="175"/>
      <c r="J3" s="175"/>
      <c r="K3" s="175"/>
      <c r="L3" s="64"/>
    </row>
    <row r="4" spans="1:12" ht="43.5" customHeight="1" x14ac:dyDescent="0.25">
      <c r="B4" s="290"/>
      <c r="C4" s="290"/>
      <c r="D4" s="290"/>
      <c r="F4" s="149"/>
      <c r="H4" s="175" t="str">
        <f>IF(D19=0,"","Annak igazolása (nyilatkozat), hogy az utak során a jelölt a hajó kormányállásában tartózkodott, valamint legalább az egyik úton önállóan kormányozta a hajót és kezelte a meghajtó berendezést.")</f>
        <v/>
      </c>
      <c r="I4" s="175"/>
      <c r="J4" s="175"/>
      <c r="K4" s="175"/>
      <c r="L4" s="64" t="b">
        <v>0</v>
      </c>
    </row>
    <row r="5" spans="1:12" ht="21.75" customHeight="1" x14ac:dyDescent="0.25">
      <c r="B5" s="8"/>
      <c r="C5" s="8"/>
      <c r="D5" s="8"/>
      <c r="F5" s="149"/>
      <c r="H5" s="178" t="str">
        <f>IF(D19=0,"","Személyazonosság igazolása")</f>
        <v/>
      </c>
      <c r="I5" s="178"/>
      <c r="J5" s="178"/>
      <c r="K5" s="178"/>
      <c r="L5" s="64" t="b">
        <v>0</v>
      </c>
    </row>
    <row r="6" spans="1:12" ht="21.75" customHeight="1" x14ac:dyDescent="0.25">
      <c r="B6" s="8"/>
      <c r="C6" s="8"/>
      <c r="D6" s="8"/>
      <c r="F6" s="149"/>
      <c r="H6" s="175" t="str">
        <f>IF(D19=0,"","Érvényes, a bizonyítvány igénylésének napját megelőző 3 hónapon belül kiállított, fedélzeti szolgálatra szóló egészségi alkalmasság igazolása")</f>
        <v/>
      </c>
      <c r="I6" s="175"/>
      <c r="J6" s="175"/>
      <c r="K6" s="175"/>
      <c r="L6" s="64" t="b">
        <v>1</v>
      </c>
    </row>
    <row r="7" spans="1:12" ht="21.75" customHeight="1" x14ac:dyDescent="0.25">
      <c r="B7" s="8"/>
      <c r="C7" s="8"/>
      <c r="D7" s="8"/>
      <c r="F7" s="149"/>
      <c r="H7" s="175"/>
      <c r="I7" s="175"/>
      <c r="J7" s="175"/>
      <c r="K7" s="175"/>
      <c r="L7" s="64" t="b">
        <v>0</v>
      </c>
    </row>
    <row r="8" spans="1:12" ht="21.75" customHeight="1" x14ac:dyDescent="0.25">
      <c r="B8" s="8"/>
      <c r="C8" s="8"/>
      <c r="D8" s="8"/>
      <c r="F8" s="149"/>
      <c r="H8" s="175" t="str">
        <f>IF(D19=0,"","UNIÓS hajóvezetői bizonyítvány megléte, vagy 
A vagy B kategóriájú hajóvezetői bizonyítvány megléte")</f>
        <v/>
      </c>
      <c r="I8" s="175"/>
      <c r="J8" s="175"/>
      <c r="K8" s="175"/>
      <c r="L8" s="64" t="b">
        <v>1</v>
      </c>
    </row>
    <row r="9" spans="1:12" ht="21.75" customHeight="1" x14ac:dyDescent="0.25">
      <c r="B9" s="8"/>
      <c r="C9" s="8"/>
      <c r="D9" s="8"/>
      <c r="F9" s="229"/>
      <c r="H9" s="175"/>
      <c r="I9" s="175"/>
      <c r="J9" s="175"/>
      <c r="K9" s="175"/>
      <c r="L9" s="64" t="b">
        <v>0</v>
      </c>
    </row>
    <row r="10" spans="1:12" ht="21.75" customHeight="1" x14ac:dyDescent="0.25">
      <c r="B10" s="8"/>
      <c r="C10" s="8"/>
      <c r="D10" s="8"/>
      <c r="E10" s="9"/>
      <c r="F10" s="229"/>
      <c r="H10" s="175"/>
      <c r="I10" s="175"/>
      <c r="J10" s="175"/>
      <c r="K10" s="175"/>
      <c r="L10" s="64" t="b">
        <v>0</v>
      </c>
    </row>
    <row r="11" spans="1:12" ht="21.75" customHeight="1" x14ac:dyDescent="0.25">
      <c r="B11" s="8"/>
      <c r="C11" s="8"/>
      <c r="D11" s="8"/>
      <c r="F11" s="229"/>
      <c r="H11" s="175"/>
      <c r="I11" s="175"/>
      <c r="J11" s="175"/>
      <c r="K11" s="175"/>
      <c r="L11" s="64" t="b">
        <v>0</v>
      </c>
    </row>
    <row r="12" spans="1:12" ht="21.75" customHeight="1" x14ac:dyDescent="0.25">
      <c r="B12" s="8"/>
      <c r="C12" s="8"/>
      <c r="D12" s="8"/>
      <c r="F12" s="229"/>
      <c r="H12" s="178" t="str">
        <f>IF(D19=0,"","2 db színes igazolványkép")</f>
        <v/>
      </c>
      <c r="I12" s="178"/>
      <c r="J12" s="178"/>
      <c r="K12" s="178"/>
      <c r="L12" s="64"/>
    </row>
    <row r="13" spans="1:12" ht="21.75" customHeight="1" x14ac:dyDescent="0.25">
      <c r="B13" s="8"/>
      <c r="C13" s="8"/>
      <c r="D13" s="8"/>
      <c r="F13" s="229"/>
      <c r="H13" s="175" t="str">
        <f>IF(D19=0,"","Díj befizetésének igazolása")</f>
        <v/>
      </c>
      <c r="I13" s="175"/>
      <c r="J13" s="175"/>
      <c r="K13" s="175"/>
      <c r="L13" s="64"/>
    </row>
    <row r="14" spans="1:12" ht="8.25" customHeight="1" x14ac:dyDescent="0.25">
      <c r="H14" s="196"/>
      <c r="I14" s="196"/>
      <c r="J14" s="196"/>
      <c r="K14" s="196"/>
    </row>
    <row r="15" spans="1:12" x14ac:dyDescent="0.25">
      <c r="C15" s="46" t="s">
        <v>128</v>
      </c>
      <c r="D15" s="44"/>
      <c r="F15" s="1" t="s">
        <v>119</v>
      </c>
      <c r="H15" s="198" t="s">
        <v>132</v>
      </c>
      <c r="I15" s="198"/>
      <c r="J15" s="198"/>
      <c r="K15" s="198"/>
    </row>
    <row r="16" spans="1:12" s="2" customFormat="1" ht="124.5" customHeight="1" x14ac:dyDescent="0.25">
      <c r="C16" s="3" t="s">
        <v>290</v>
      </c>
      <c r="D16" s="3" t="s">
        <v>84</v>
      </c>
      <c r="F16" s="43">
        <f>SUM(D18:D19)</f>
        <v>0</v>
      </c>
      <c r="G16" s="17"/>
      <c r="H16" s="287" t="s">
        <v>288</v>
      </c>
      <c r="I16" s="287"/>
      <c r="J16" s="287"/>
      <c r="K16" s="287"/>
    </row>
    <row r="17" spans="3:11" s="2" customFormat="1" ht="15.75" customHeight="1" x14ac:dyDescent="0.25">
      <c r="C17" s="6" t="str">
        <f>IF(C18&lt;&gt;0,"Vizsga","")</f>
        <v/>
      </c>
      <c r="D17" s="42" t="s">
        <v>85</v>
      </c>
      <c r="G17" s="17"/>
      <c r="H17" s="17"/>
      <c r="I17" s="17"/>
      <c r="J17" s="17"/>
      <c r="K17" s="17"/>
    </row>
    <row r="18" spans="3:11" s="1" customFormat="1" x14ac:dyDescent="0.25">
      <c r="C18" s="109">
        <f>IF($L$4=TRUE,KEZDŐLAP!$F$25,0)</f>
        <v>0</v>
      </c>
      <c r="D18" s="66">
        <f>IF(D19=0,0,KEZDŐLAP!F30)</f>
        <v>0</v>
      </c>
      <c r="F18" s="2"/>
      <c r="G18" s="17"/>
      <c r="H18" s="17"/>
      <c r="I18" s="17"/>
      <c r="J18" s="17"/>
      <c r="K18" s="17"/>
    </row>
    <row r="19" spans="3:11" x14ac:dyDescent="0.25">
      <c r="C19" s="140" t="s">
        <v>88</v>
      </c>
      <c r="D19" s="33">
        <f>SUM(C18:C18)</f>
        <v>0</v>
      </c>
      <c r="G19" s="17"/>
      <c r="H19" s="17"/>
      <c r="I19" s="17"/>
      <c r="J19" s="17"/>
      <c r="K19" s="17"/>
    </row>
    <row r="20" spans="3:11" x14ac:dyDescent="0.25">
      <c r="G20" s="17"/>
      <c r="H20" s="17"/>
      <c r="I20" s="17"/>
      <c r="J20" s="17"/>
      <c r="K20" s="17"/>
    </row>
    <row r="21" spans="3:11" x14ac:dyDescent="0.25">
      <c r="G21" s="17"/>
      <c r="H21" s="17"/>
      <c r="I21" s="17"/>
      <c r="J21" s="17"/>
      <c r="K21" s="17"/>
    </row>
    <row r="22" spans="3:11" x14ac:dyDescent="0.25">
      <c r="G22" s="17"/>
      <c r="H22" s="17"/>
      <c r="I22" s="17"/>
      <c r="J22" s="17"/>
      <c r="K22" s="17"/>
    </row>
    <row r="23" spans="3:11" x14ac:dyDescent="0.25">
      <c r="G23" s="17"/>
      <c r="H23" s="17"/>
      <c r="I23" s="17"/>
      <c r="J23" s="17"/>
      <c r="K23" s="17"/>
    </row>
    <row r="24" spans="3:11" x14ac:dyDescent="0.25">
      <c r="G24" s="17"/>
      <c r="H24" s="17"/>
      <c r="I24" s="17"/>
      <c r="J24" s="17"/>
      <c r="K24" s="17"/>
    </row>
  </sheetData>
  <sheetProtection sheet="1" selectLockedCells="1"/>
  <protectedRanges>
    <protectedRange password="EFFA" sqref="G3:K4 L3:L13 F9 G15:K15 D1:K1 E2:L2 A14:A18 D3:E12 E17:F18 F16 B3:C12 I6:K10 F14 H6 H12:K14 H8:H10 G5:G14 C15 B1:C1 B13:C14 D13:E15 C16:C18" name="Tartomány1"/>
    <protectedRange password="EFFA" sqref="F3:F8 F10:F12" name="Tartomány1_2"/>
    <protectedRange password="EFFA" sqref="H5:K5" name="Tartomány1_1"/>
    <protectedRange password="EFFA" sqref="A1" name="Tartomány1_3"/>
    <protectedRange password="EFFA" sqref="B2:D2" name="Tartomány1_4"/>
    <protectedRange password="EFFA" sqref="D16:D18" name="Tartomány1_5"/>
    <protectedRange password="EFFA" sqref="F15" name="Tartomány1_6"/>
    <protectedRange password="EFFA" sqref="G16:J18" name="Tartomány1_2_1"/>
  </protectedRanges>
  <mergeCells count="16">
    <mergeCell ref="H16:K16"/>
    <mergeCell ref="F9:F13"/>
    <mergeCell ref="H12:K12"/>
    <mergeCell ref="H13:K13"/>
    <mergeCell ref="H14:K14"/>
    <mergeCell ref="H15:K15"/>
    <mergeCell ref="B1:D1"/>
    <mergeCell ref="H1:K1"/>
    <mergeCell ref="B2:D2"/>
    <mergeCell ref="F3:F8"/>
    <mergeCell ref="H3:K3"/>
    <mergeCell ref="B4:D4"/>
    <mergeCell ref="H4:K4"/>
    <mergeCell ref="H5:K5"/>
    <mergeCell ref="H6:K7"/>
    <mergeCell ref="H8:K11"/>
  </mergeCells>
  <conditionalFormatting sqref="C17:D17">
    <cfRule type="containsText" dxfId="43" priority="1" operator="containsText" text="Vizsga">
      <formula>NOT(ISERROR(SEARCH("Vizsga",C17)))</formula>
    </cfRule>
    <cfRule type="containsText" dxfId="42" priority="2" operator="containsText" text="&quot;Vizsga&quot;">
      <formula>NOT(ISERROR(SEARCH("""Vizsga""",C17)))</formula>
    </cfRule>
  </conditionalFormatting>
  <hyperlinks>
    <hyperlink ref="A1" location="KEZDŐLAP!A1" display="X" xr:uid="{07DEA17D-C0F0-4E34-93E0-8DF0D877370D}"/>
  </hyperlinks>
  <pageMargins left="0.7" right="0.7" top="0.75" bottom="0.75" header="0.3" footer="0.3"/>
  <pageSetup paperSize="9"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41" r:id="rId4" name="Check Box 1">
              <controlPr defaultSize="0" autoFill="0" autoLine="0" autoPict="0" altText="Rajna: 335.66 - 425.00 fkm (Iffezheim - Mannheim)">
                <anchor moveWithCells="1">
                  <from>
                    <xdr:col>1</xdr:col>
                    <xdr:colOff>438150</xdr:colOff>
                    <xdr:row>3</xdr:row>
                    <xdr:rowOff>514350</xdr:rowOff>
                  </from>
                  <to>
                    <xdr:col>2</xdr:col>
                    <xdr:colOff>361950</xdr:colOff>
                    <xdr:row>5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AE664-3FF6-401D-B401-7D5D0BB6B9C8}">
  <sheetPr>
    <tabColor rgb="FFFFC000"/>
  </sheetPr>
  <dimension ref="A1:Q24"/>
  <sheetViews>
    <sheetView workbookViewId="0"/>
  </sheetViews>
  <sheetFormatPr defaultRowHeight="15" x14ac:dyDescent="0.25"/>
  <cols>
    <col min="1" max="1" width="3.42578125" customWidth="1"/>
    <col min="2" max="9" width="10.7109375" customWidth="1"/>
    <col min="10" max="10" width="3.5703125" customWidth="1"/>
    <col min="11" max="11" width="31.7109375" customWidth="1"/>
    <col min="12" max="12" width="3.140625" customWidth="1"/>
    <col min="13" max="16" width="17.5703125" customWidth="1"/>
    <col min="17" max="17" width="1.5703125" customWidth="1"/>
  </cols>
  <sheetData>
    <row r="1" spans="1:17" ht="28.5" customHeight="1" x14ac:dyDescent="0.25">
      <c r="A1" s="26" t="s">
        <v>43</v>
      </c>
      <c r="B1" s="173" t="s">
        <v>134</v>
      </c>
      <c r="C1" s="173"/>
      <c r="D1" s="173"/>
      <c r="E1" s="173"/>
      <c r="F1" s="173"/>
      <c r="G1" s="173"/>
      <c r="H1" s="173"/>
      <c r="I1" s="173"/>
      <c r="K1" s="5" t="s">
        <v>1</v>
      </c>
      <c r="M1" s="147" t="s">
        <v>133</v>
      </c>
      <c r="N1" s="147"/>
      <c r="O1" s="147"/>
      <c r="P1" s="147"/>
    </row>
    <row r="2" spans="1:17" ht="13.5" customHeight="1" x14ac:dyDescent="0.25">
      <c r="B2" s="173"/>
      <c r="C2" s="173"/>
      <c r="D2" s="173"/>
      <c r="E2" s="173"/>
      <c r="F2" s="173"/>
      <c r="G2" s="173"/>
      <c r="H2" s="173"/>
      <c r="I2" s="173"/>
      <c r="K2" s="1"/>
      <c r="Q2" s="24"/>
    </row>
    <row r="3" spans="1:17" ht="18" customHeight="1" x14ac:dyDescent="0.25">
      <c r="B3" s="176" t="s">
        <v>137</v>
      </c>
      <c r="C3" s="176"/>
      <c r="D3" s="176"/>
      <c r="E3" s="176"/>
      <c r="F3" s="176"/>
      <c r="G3" s="176"/>
      <c r="H3" s="176"/>
      <c r="I3" s="176"/>
      <c r="K3" s="149"/>
      <c r="M3" s="175" t="str">
        <f>IF(Q4=TRUE,"Okmányigénylés","Írásos vizsgajelentkezési kérelem")</f>
        <v>Írásos vizsgajelentkezési kérelem</v>
      </c>
      <c r="N3" s="175"/>
      <c r="O3" s="175"/>
      <c r="P3" s="175"/>
      <c r="Q3" s="64"/>
    </row>
    <row r="4" spans="1:17" ht="18" customHeight="1" x14ac:dyDescent="0.25">
      <c r="B4" s="8"/>
      <c r="C4" s="8"/>
      <c r="D4" s="8"/>
      <c r="E4" s="8"/>
      <c r="F4" s="8"/>
      <c r="G4" s="8"/>
      <c r="H4" s="8"/>
      <c r="I4" s="8"/>
      <c r="K4" s="149"/>
      <c r="M4" s="178" t="s">
        <v>7</v>
      </c>
      <c r="N4" s="178"/>
      <c r="O4" s="178"/>
      <c r="P4" s="178"/>
      <c r="Q4" s="64" t="b">
        <v>0</v>
      </c>
    </row>
    <row r="5" spans="1:17" ht="18" customHeight="1" x14ac:dyDescent="0.25">
      <c r="B5" s="8"/>
      <c r="C5" s="8"/>
      <c r="D5" s="8"/>
      <c r="E5" s="8"/>
      <c r="F5" s="8"/>
      <c r="G5" s="8"/>
      <c r="H5" s="8"/>
      <c r="I5" s="8"/>
      <c r="K5" s="149"/>
      <c r="M5" s="178" t="s">
        <v>129</v>
      </c>
      <c r="N5" s="178"/>
      <c r="O5" s="178"/>
      <c r="P5" s="178"/>
      <c r="Q5" s="64"/>
    </row>
    <row r="6" spans="1:17" ht="18" customHeight="1" x14ac:dyDescent="0.25">
      <c r="B6" s="8"/>
      <c r="C6" s="8"/>
      <c r="D6" s="8"/>
      <c r="E6" s="8"/>
      <c r="F6" s="8"/>
      <c r="G6" s="8"/>
      <c r="H6" s="8"/>
      <c r="I6" s="8"/>
      <c r="K6" s="149"/>
      <c r="M6" s="175" t="s">
        <v>131</v>
      </c>
      <c r="N6" s="175"/>
      <c r="O6" s="175"/>
      <c r="P6" s="175"/>
      <c r="Q6" s="64"/>
    </row>
    <row r="7" spans="1:17" ht="18" customHeight="1" x14ac:dyDescent="0.25">
      <c r="B7" s="8"/>
      <c r="C7" s="8"/>
      <c r="D7" s="8"/>
      <c r="E7" s="8"/>
      <c r="F7" s="8"/>
      <c r="G7" s="8"/>
      <c r="H7" s="8"/>
      <c r="I7" s="8"/>
      <c r="K7" s="149"/>
      <c r="M7" s="175"/>
      <c r="N7" s="175"/>
      <c r="O7" s="175"/>
      <c r="P7" s="175"/>
      <c r="Q7" s="64"/>
    </row>
    <row r="8" spans="1:17" ht="18" customHeight="1" x14ac:dyDescent="0.25">
      <c r="B8" s="8"/>
      <c r="C8" s="8"/>
      <c r="D8" s="8"/>
      <c r="E8" s="8"/>
      <c r="F8" s="8"/>
      <c r="G8" s="8"/>
      <c r="H8" s="8"/>
      <c r="I8" s="8"/>
      <c r="K8" s="149"/>
      <c r="M8" s="175" t="str">
        <f>IF(Q4=TRUE,"","UNIÓS hajóvezetői bizonyítvány megléte, vagy B kategóriájú hajóvezetői bizonyítvány megléte, vagy a hajóvezetők számára szükséges uniós képesítő bizonyítványok megszerzéséhez a jogszabály által meghatározott minimumkövetelményeket teljesítése")</f>
        <v>UNIÓS hajóvezetői bizonyítvány megléte, vagy B kategóriájú hajóvezetői bizonyítvány megléte, vagy a hajóvezetők számára szükséges uniós képesítő bizonyítványok megszerzéséhez a jogszabály által meghatározott minimumkövetelményeket teljesítése</v>
      </c>
      <c r="N8" s="175"/>
      <c r="O8" s="175"/>
      <c r="P8" s="175"/>
      <c r="Q8" s="64"/>
    </row>
    <row r="9" spans="1:17" ht="18" customHeight="1" x14ac:dyDescent="0.25">
      <c r="B9" s="8"/>
      <c r="C9" s="8"/>
      <c r="D9" s="8"/>
      <c r="E9" s="8"/>
      <c r="F9" s="8"/>
      <c r="G9" s="8"/>
      <c r="H9" s="8"/>
      <c r="I9" s="8"/>
      <c r="K9" s="229"/>
      <c r="M9" s="175"/>
      <c r="N9" s="175"/>
      <c r="O9" s="175"/>
      <c r="P9" s="175"/>
      <c r="Q9" s="64"/>
    </row>
    <row r="10" spans="1:17" ht="18" customHeight="1" x14ac:dyDescent="0.25">
      <c r="B10" s="8"/>
      <c r="C10" s="8"/>
      <c r="D10" s="8"/>
      <c r="E10" s="8"/>
      <c r="F10" s="8"/>
      <c r="G10" s="8"/>
      <c r="H10" s="8"/>
      <c r="I10" s="8"/>
      <c r="J10" s="9"/>
      <c r="K10" s="229"/>
      <c r="M10" s="175"/>
      <c r="N10" s="175"/>
      <c r="O10" s="175"/>
      <c r="P10" s="175"/>
      <c r="Q10" s="64"/>
    </row>
    <row r="11" spans="1:17" ht="18" customHeight="1" x14ac:dyDescent="0.25">
      <c r="B11" s="8"/>
      <c r="C11" s="8"/>
      <c r="D11" s="8"/>
      <c r="E11" s="8"/>
      <c r="F11" s="8"/>
      <c r="G11" s="8"/>
      <c r="H11" s="8"/>
      <c r="I11" s="8"/>
      <c r="K11" s="229"/>
      <c r="M11" s="175"/>
      <c r="N11" s="175"/>
      <c r="O11" s="175"/>
      <c r="P11" s="175"/>
      <c r="Q11" s="64"/>
    </row>
    <row r="12" spans="1:17" ht="18" customHeight="1" x14ac:dyDescent="0.25">
      <c r="B12" s="8"/>
      <c r="C12" s="8"/>
      <c r="D12" s="8"/>
      <c r="E12" s="8"/>
      <c r="F12" s="8"/>
      <c r="G12" s="8"/>
      <c r="H12" s="8"/>
      <c r="I12" s="8"/>
      <c r="K12" s="229"/>
      <c r="M12" s="178" t="s">
        <v>10</v>
      </c>
      <c r="N12" s="178"/>
      <c r="O12" s="178"/>
      <c r="P12" s="178"/>
      <c r="Q12" s="64"/>
    </row>
    <row r="13" spans="1:17" ht="18" customHeight="1" x14ac:dyDescent="0.25">
      <c r="B13" s="8"/>
      <c r="C13" s="8"/>
      <c r="D13" s="8"/>
      <c r="E13" s="8"/>
      <c r="F13" s="8"/>
      <c r="G13" s="8"/>
      <c r="H13" s="8"/>
      <c r="I13" s="8"/>
      <c r="K13" s="229"/>
      <c r="M13" s="175" t="s">
        <v>110</v>
      </c>
      <c r="N13" s="175"/>
      <c r="O13" s="175"/>
      <c r="P13" s="175"/>
      <c r="Q13" s="64"/>
    </row>
    <row r="14" spans="1:17" ht="8.25" customHeight="1" x14ac:dyDescent="0.25">
      <c r="M14" s="196"/>
      <c r="N14" s="196"/>
      <c r="O14" s="196"/>
      <c r="P14" s="196"/>
    </row>
    <row r="15" spans="1:17" x14ac:dyDescent="0.25">
      <c r="B15" s="160" t="s">
        <v>13</v>
      </c>
      <c r="C15" s="161"/>
      <c r="D15" s="44"/>
      <c r="K15" s="1" t="s">
        <v>119</v>
      </c>
      <c r="M15" s="196" t="s">
        <v>164</v>
      </c>
      <c r="N15" s="196"/>
      <c r="O15" s="196"/>
      <c r="P15" s="196"/>
    </row>
    <row r="16" spans="1:17" s="2" customFormat="1" ht="124.5" customHeight="1" x14ac:dyDescent="0.25">
      <c r="B16" s="3" t="s">
        <v>135</v>
      </c>
      <c r="C16" s="3" t="s">
        <v>136</v>
      </c>
      <c r="D16" s="3" t="s">
        <v>84</v>
      </c>
      <c r="E16" s="37"/>
      <c r="F16" s="37"/>
      <c r="G16" s="37"/>
      <c r="K16" s="43">
        <f>SUM(D18:D19)</f>
        <v>34700</v>
      </c>
      <c r="M16" s="287" t="str">
        <f>IF(Q4=TRUE,"A hajóskapitányi szolgálat igazolására a következő dokumentumok szolgálnak:
a) a hajós szolgálati könyv,
b) a hajónapló,
c) a munkáltatói igazolás,
d) a hajózási hatóság vagy a vizsgaközpont rendelkezésére álló dokumentumok.","A szóbeli vizsgatárgy vizsgája a sikeres tesztvizsgát követően kezdhető meg.")</f>
        <v>A szóbeli vizsgatárgy vizsgája a sikeres tesztvizsgát követően kezdhető meg.</v>
      </c>
      <c r="N16" s="287"/>
      <c r="O16" s="287"/>
      <c r="P16" s="287"/>
    </row>
    <row r="17" spans="2:16" s="2" customFormat="1" ht="15.75" customHeight="1" x14ac:dyDescent="0.25">
      <c r="B17" s="6" t="str">
        <f>IF(B18&lt;&gt;0,"Vizsga","")</f>
        <v>Vizsga</v>
      </c>
      <c r="C17" s="6" t="str">
        <f t="shared" ref="C17" si="0">IF(C18&lt;&gt;0,"Vizsga","")</f>
        <v>Vizsga</v>
      </c>
      <c r="D17" s="42" t="s">
        <v>85</v>
      </c>
      <c r="E17" s="36"/>
      <c r="F17" s="36"/>
      <c r="G17" s="36"/>
      <c r="K17" s="17"/>
      <c r="L17" s="17"/>
      <c r="M17" s="17"/>
      <c r="N17" s="17"/>
      <c r="O17" s="17"/>
    </row>
    <row r="18" spans="2:16" s="1" customFormat="1" x14ac:dyDescent="0.25">
      <c r="B18" s="33">
        <f>IF($Q$4=TRUE,0,KEZDŐLAP!F25)</f>
        <v>10800</v>
      </c>
      <c r="C18" s="33">
        <f>IF($Q$4=TRUE,0,KEZDŐLAP!F26)</f>
        <v>17400</v>
      </c>
      <c r="D18" s="66">
        <f>KEZDŐLAP!F30</f>
        <v>6500</v>
      </c>
      <c r="E18" s="70"/>
      <c r="F18" s="70"/>
      <c r="G18" s="70"/>
      <c r="J18" s="2"/>
      <c r="K18" s="17"/>
      <c r="L18" s="17"/>
      <c r="M18" s="17"/>
      <c r="N18" s="17"/>
      <c r="O18" s="17"/>
    </row>
    <row r="19" spans="2:16" x14ac:dyDescent="0.25">
      <c r="B19" s="220" t="s">
        <v>88</v>
      </c>
      <c r="C19" s="222"/>
      <c r="D19" s="33">
        <f>SUM(B18:C18)</f>
        <v>28200</v>
      </c>
      <c r="E19" s="19"/>
      <c r="K19" s="17"/>
      <c r="L19" s="17"/>
      <c r="M19" s="17"/>
      <c r="N19" s="17"/>
      <c r="O19" s="17"/>
    </row>
    <row r="20" spans="2:16" x14ac:dyDescent="0.25">
      <c r="L20" s="17"/>
      <c r="M20" s="17"/>
      <c r="N20" s="17"/>
      <c r="O20" s="17"/>
      <c r="P20" s="17"/>
    </row>
    <row r="21" spans="2:16" x14ac:dyDescent="0.25">
      <c r="L21" s="17"/>
      <c r="M21" s="17"/>
      <c r="N21" s="17"/>
      <c r="O21" s="17"/>
      <c r="P21" s="17"/>
    </row>
    <row r="22" spans="2:16" x14ac:dyDescent="0.25">
      <c r="L22" s="17"/>
      <c r="M22" s="17"/>
      <c r="N22" s="17"/>
      <c r="O22" s="17"/>
      <c r="P22" s="17"/>
    </row>
    <row r="23" spans="2:16" x14ac:dyDescent="0.25">
      <c r="L23" s="17"/>
      <c r="M23" s="17"/>
      <c r="N23" s="17"/>
      <c r="O23" s="17"/>
      <c r="P23" s="17"/>
    </row>
    <row r="24" spans="2:16" x14ac:dyDescent="0.25">
      <c r="L24" s="17"/>
      <c r="M24" s="17"/>
      <c r="N24" s="17"/>
      <c r="O24" s="17"/>
      <c r="P24" s="17"/>
    </row>
  </sheetData>
  <sheetProtection sheet="1" selectLockedCells="1"/>
  <protectedRanges>
    <protectedRange password="EFFA" sqref="L3:P4 Q3:Q13 K9 D13:J14 E16:G18 B1:P1 J2:Q2 A14:A18 B3:J12 I17:J18 K16 D15:I15 N6:P10 K14 M6 M12:P14 M8:M10 L5:L14 M15:O15 B13:C18" name="Tartomány1"/>
    <protectedRange password="EFFA" sqref="K3:K8 K10:K12" name="Tartomány1_2"/>
    <protectedRange password="EFFA" sqref="M5:P5" name="Tartomány1_1"/>
    <protectedRange password="EFFA" sqref="A1" name="Tartomány1_3"/>
    <protectedRange password="EFFA" sqref="B2:I2" name="Tartomány1_4"/>
    <protectedRange password="EFFA" sqref="D16:D18" name="Tartomány1_5"/>
    <protectedRange password="EFFA" sqref="K15" name="Tartomány1_6"/>
    <protectedRange password="EFFA" sqref="M16 N16:N18 K17:M18" name="Tartomány1_2_1"/>
  </protectedRanges>
  <mergeCells count="17">
    <mergeCell ref="B19:C19"/>
    <mergeCell ref="B15:C15"/>
    <mergeCell ref="B3:I3"/>
    <mergeCell ref="M12:P12"/>
    <mergeCell ref="M13:P13"/>
    <mergeCell ref="M14:P14"/>
    <mergeCell ref="K3:K8"/>
    <mergeCell ref="M3:P3"/>
    <mergeCell ref="M4:P4"/>
    <mergeCell ref="M5:P5"/>
    <mergeCell ref="M6:P7"/>
    <mergeCell ref="M8:P11"/>
    <mergeCell ref="K9:K13"/>
    <mergeCell ref="B1:I2"/>
    <mergeCell ref="M16:P16"/>
    <mergeCell ref="M15:P15"/>
    <mergeCell ref="M1:P1"/>
  </mergeCells>
  <conditionalFormatting sqref="B17:G17">
    <cfRule type="containsText" dxfId="41" priority="1" operator="containsText" text="Vizsga">
      <formula>NOT(ISERROR(SEARCH("Vizsga",B17)))</formula>
    </cfRule>
    <cfRule type="containsText" dxfId="40" priority="2" operator="containsText" text="&quot;Vizsga&quot;">
      <formula>NOT(ISERROR(SEARCH("""Vizsga""",B17)))</formula>
    </cfRule>
  </conditionalFormatting>
  <hyperlinks>
    <hyperlink ref="A1" location="KEZDŐLAP!A1" display="X" xr:uid="{697506C0-783B-4A57-B05F-7DA59B1D3221}"/>
  </hyperlinks>
  <pageMargins left="0.7" right="0.7" top="0.75" bottom="0.75" header="0.3" footer="0.3"/>
  <pageSetup paperSize="9"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9571" r:id="rId4" name="Check Box 3">
              <controlPr defaultSize="0" autoFill="0" autoLine="0" autoPict="0">
                <anchor moveWithCells="1">
                  <from>
                    <xdr:col>1</xdr:col>
                    <xdr:colOff>304800</xdr:colOff>
                    <xdr:row>3</xdr:row>
                    <xdr:rowOff>152400</xdr:rowOff>
                  </from>
                  <to>
                    <xdr:col>8</xdr:col>
                    <xdr:colOff>666750</xdr:colOff>
                    <xdr:row>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8A6E5-ABA3-4143-A45D-597C1FCE2407}">
  <sheetPr>
    <tabColor rgb="FF00B0F0"/>
  </sheetPr>
  <dimension ref="A1:Q15"/>
  <sheetViews>
    <sheetView workbookViewId="0"/>
  </sheetViews>
  <sheetFormatPr defaultRowHeight="15" x14ac:dyDescent="0.25"/>
  <cols>
    <col min="1" max="1" width="3.42578125" customWidth="1"/>
    <col min="2" max="9" width="11.140625" customWidth="1"/>
    <col min="10" max="10" width="3.140625" customWidth="1"/>
    <col min="11" max="11" width="31.7109375" customWidth="1"/>
    <col min="12" max="12" width="3.140625" customWidth="1"/>
    <col min="13" max="13" width="9" customWidth="1"/>
    <col min="17" max="17" width="1.5703125" customWidth="1"/>
  </cols>
  <sheetData>
    <row r="1" spans="1:17" ht="27.75" customHeight="1" x14ac:dyDescent="0.25">
      <c r="A1" s="26" t="s">
        <v>43</v>
      </c>
      <c r="B1" s="174" t="s">
        <v>115</v>
      </c>
      <c r="C1" s="174"/>
      <c r="D1" s="174"/>
      <c r="E1" s="174"/>
      <c r="F1" s="174"/>
      <c r="G1" s="174"/>
      <c r="H1" s="174"/>
      <c r="I1" s="174"/>
      <c r="K1" s="174" t="s">
        <v>1</v>
      </c>
      <c r="M1" s="173" t="s">
        <v>116</v>
      </c>
      <c r="N1" s="173"/>
      <c r="O1" s="173"/>
      <c r="P1" s="173"/>
    </row>
    <row r="2" spans="1:17" ht="30" customHeight="1" x14ac:dyDescent="0.25">
      <c r="A2" s="69"/>
      <c r="B2" s="172" t="s">
        <v>216</v>
      </c>
      <c r="C2" s="172"/>
      <c r="D2" s="172"/>
      <c r="E2" s="172"/>
      <c r="F2" s="172"/>
      <c r="G2" s="172"/>
      <c r="H2" s="172"/>
      <c r="I2" s="172"/>
      <c r="K2" s="174"/>
      <c r="M2" s="173"/>
      <c r="N2" s="173"/>
      <c r="O2" s="173"/>
      <c r="P2" s="173"/>
    </row>
    <row r="3" spans="1:17" ht="15" customHeight="1" x14ac:dyDescent="0.25">
      <c r="B3" s="176" t="s">
        <v>117</v>
      </c>
      <c r="C3" s="176"/>
      <c r="D3" s="176"/>
      <c r="E3" s="176"/>
      <c r="F3" s="176"/>
      <c r="G3" s="176"/>
      <c r="H3" s="176"/>
      <c r="I3" s="176"/>
      <c r="K3" s="1"/>
      <c r="M3" s="150" t="s">
        <v>118</v>
      </c>
      <c r="N3" s="150"/>
      <c r="O3" s="150"/>
      <c r="P3" s="150"/>
      <c r="Q3" s="24"/>
    </row>
    <row r="4" spans="1:17" ht="15" customHeight="1" x14ac:dyDescent="0.25">
      <c r="B4" s="8"/>
      <c r="C4" s="8"/>
      <c r="D4" s="8"/>
      <c r="E4" s="8"/>
      <c r="F4" s="8"/>
      <c r="G4" s="8"/>
      <c r="H4" s="8"/>
      <c r="I4" s="8"/>
      <c r="K4" s="149" t="str">
        <f>IF(Q4=FALSE,"Jóváhagyott képzési program részeként legalább 90 nap hajózási idő teljesítése a fedélzeti személyzet tagjaként","")</f>
        <v>Jóváhagyott képzési program részeként legalább 90 nap hajózási idő teljesítése a fedélzeti személyzet tagjaként</v>
      </c>
      <c r="M4" s="150"/>
      <c r="N4" s="150"/>
      <c r="O4" s="150"/>
      <c r="P4" s="150"/>
      <c r="Q4" s="64" t="b">
        <v>0</v>
      </c>
    </row>
    <row r="5" spans="1:17" x14ac:dyDescent="0.25">
      <c r="B5" s="8"/>
      <c r="C5" s="8"/>
      <c r="D5" s="8"/>
      <c r="E5" s="8"/>
      <c r="F5" s="8"/>
      <c r="G5" s="8"/>
      <c r="H5" s="8"/>
      <c r="I5" s="8"/>
      <c r="K5" s="149"/>
      <c r="M5" s="151" t="s">
        <v>7</v>
      </c>
      <c r="N5" s="151"/>
      <c r="O5" s="151"/>
      <c r="P5" s="151"/>
      <c r="Q5" s="64"/>
    </row>
    <row r="6" spans="1:17" x14ac:dyDescent="0.25">
      <c r="B6" s="8"/>
      <c r="C6" s="8"/>
      <c r="D6" s="8"/>
      <c r="E6" s="8"/>
      <c r="F6" s="8"/>
      <c r="G6" s="8"/>
      <c r="H6" s="8"/>
      <c r="I6" s="8"/>
      <c r="K6" s="149"/>
      <c r="M6" s="150" t="s">
        <v>8</v>
      </c>
      <c r="N6" s="150"/>
      <c r="O6" s="150"/>
      <c r="P6" s="150"/>
      <c r="Q6" s="64"/>
    </row>
    <row r="7" spans="1:17" x14ac:dyDescent="0.25">
      <c r="B7" s="8"/>
      <c r="C7" s="8"/>
      <c r="D7" s="8"/>
      <c r="E7" s="8"/>
      <c r="F7" s="8"/>
      <c r="G7" s="8"/>
      <c r="H7" s="8"/>
      <c r="I7" s="8"/>
      <c r="K7" s="149"/>
      <c r="M7" s="150"/>
      <c r="N7" s="150"/>
      <c r="O7" s="150"/>
      <c r="P7" s="150"/>
      <c r="Q7" s="64"/>
    </row>
    <row r="8" spans="1:17" ht="18.75" customHeight="1" x14ac:dyDescent="0.25">
      <c r="B8" s="8"/>
      <c r="C8" s="8"/>
      <c r="D8" s="8"/>
      <c r="E8" s="8"/>
      <c r="F8" s="8"/>
      <c r="G8" s="8"/>
      <c r="H8" s="8"/>
      <c r="I8" s="8"/>
      <c r="J8" s="9"/>
      <c r="K8" s="149"/>
      <c r="M8" s="151" t="s">
        <v>110</v>
      </c>
      <c r="N8" s="151"/>
      <c r="O8" s="151"/>
      <c r="P8" s="151"/>
      <c r="Q8" s="64"/>
    </row>
    <row r="9" spans="1:17" ht="48" customHeight="1" x14ac:dyDescent="0.25">
      <c r="B9" s="8"/>
      <c r="C9" s="8"/>
      <c r="D9" s="8"/>
      <c r="E9" s="8"/>
      <c r="F9" s="8"/>
      <c r="G9" s="8"/>
      <c r="H9" s="8"/>
      <c r="I9" s="8"/>
      <c r="K9" s="149"/>
      <c r="M9" s="168" t="str">
        <f>IF(Q4=TRUE,"Igazolás a hajózási hatóság által jóváhagyott képzésben sikeres matrózvizsga letételéről, vagy",IF(AND(Q4,Q5)=FALSE,"","A hajózási hatóság által jóváhagyott képzési programot végzett el"))</f>
        <v/>
      </c>
      <c r="N9" s="169"/>
      <c r="O9" s="169"/>
      <c r="P9" s="170"/>
      <c r="Q9" s="64"/>
    </row>
    <row r="10" spans="1:17" ht="72.75" customHeight="1" x14ac:dyDescent="0.25">
      <c r="M10" s="168" t="str">
        <f>IF(Q4=TRUE,"a hajózási hatóság által jóváhagyott képzési program elvégzése, és e jóváhagyott képzési program részeként legalább 90 nap hajózási idő teljesítése a fedélzeti személyzet tagjaként","")</f>
        <v/>
      </c>
      <c r="N10" s="169"/>
      <c r="O10" s="169"/>
      <c r="P10" s="170"/>
    </row>
    <row r="11" spans="1:17" ht="21.75" customHeight="1" x14ac:dyDescent="0.25">
      <c r="M11" s="175" t="str">
        <f>IF(Q4=TRUE,"","Betöltött 17. életév")</f>
        <v>Betöltött 17. életév</v>
      </c>
      <c r="N11" s="175"/>
      <c r="O11" s="175"/>
      <c r="P11" s="175"/>
    </row>
    <row r="12" spans="1:17" x14ac:dyDescent="0.25">
      <c r="K12" s="1" t="s">
        <v>119</v>
      </c>
    </row>
    <row r="13" spans="1:17" s="2" customFormat="1" ht="57.75" customHeight="1" x14ac:dyDescent="0.25">
      <c r="A13"/>
      <c r="B13"/>
      <c r="C13"/>
      <c r="D13"/>
      <c r="E13"/>
      <c r="F13"/>
      <c r="G13"/>
      <c r="H13"/>
      <c r="I13"/>
      <c r="K13" s="10">
        <f>KEZDŐLAP!F32</f>
        <v>8700</v>
      </c>
      <c r="L13"/>
      <c r="M13" s="171"/>
      <c r="N13" s="171"/>
      <c r="O13" s="171"/>
      <c r="P13" s="171"/>
    </row>
    <row r="14" spans="1:17" s="2" customFormat="1" ht="15.75" customHeight="1" x14ac:dyDescent="0.25">
      <c r="A14"/>
      <c r="B14"/>
      <c r="C14"/>
      <c r="D14"/>
      <c r="E14"/>
      <c r="F14"/>
      <c r="G14"/>
      <c r="H14"/>
      <c r="I14"/>
    </row>
    <row r="15" spans="1:17" s="1" customFormat="1" x14ac:dyDescent="0.25">
      <c r="A15"/>
      <c r="B15"/>
      <c r="C15"/>
      <c r="D15"/>
      <c r="E15"/>
      <c r="F15"/>
      <c r="G15"/>
      <c r="H15"/>
      <c r="I15"/>
      <c r="L15" s="2"/>
      <c r="M15" s="2"/>
      <c r="N15" s="2"/>
      <c r="O15" s="2"/>
    </row>
  </sheetData>
  <sheetProtection sheet="1" selectLockedCells="1"/>
  <protectedRanges>
    <protectedRange password="EFFA" sqref="B4:J9 J14:P15 J12 J13:L13 A10:G11 L12:P12 H10:P11 B1:P2 J3:Q3 L4:L9 N4:Q9 M5:M9" name="Tartomány1"/>
    <protectedRange password="EFFA" sqref="K4:K9" name="Tartomány1_2"/>
    <protectedRange password="EFFA" sqref="M13:P13" name="Tartomány1_1_1"/>
    <protectedRange password="EFFA" sqref="A1:A2" name="Tartomány1_3"/>
    <protectedRange password="EFFA" sqref="B3:I3" name="Tartomány1_4"/>
    <protectedRange password="EFFA" sqref="K12" name="Tartomány1_1"/>
  </protectedRanges>
  <mergeCells count="14">
    <mergeCell ref="M10:P10"/>
    <mergeCell ref="M13:P13"/>
    <mergeCell ref="B2:I2"/>
    <mergeCell ref="M1:P2"/>
    <mergeCell ref="K1:K2"/>
    <mergeCell ref="M3:P4"/>
    <mergeCell ref="M11:P11"/>
    <mergeCell ref="B1:I1"/>
    <mergeCell ref="B3:I3"/>
    <mergeCell ref="K4:K9"/>
    <mergeCell ref="M5:P5"/>
    <mergeCell ref="M6:P7"/>
    <mergeCell ref="M8:P8"/>
    <mergeCell ref="M9:P9"/>
  </mergeCells>
  <hyperlinks>
    <hyperlink ref="A1" location="KEZDŐLAP!A1" display="X" xr:uid="{32245C07-33AC-470F-8F62-E3120B44A8C6}"/>
  </hyperlinks>
  <pageMargins left="0.7" right="0.7" top="0.75" bottom="0.75" header="0.3" footer="0.3"/>
  <pageSetup paperSize="9"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7041" r:id="rId4" name="Check Box 1">
              <controlPr defaultSize="0" autoFill="0" autoLine="0" autoPict="0">
                <anchor moveWithCells="1">
                  <from>
                    <xdr:col>1</xdr:col>
                    <xdr:colOff>438150</xdr:colOff>
                    <xdr:row>3</xdr:row>
                    <xdr:rowOff>152400</xdr:rowOff>
                  </from>
                  <to>
                    <xdr:col>8</xdr:col>
                    <xdr:colOff>466725</xdr:colOff>
                    <xdr:row>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33651-88B9-4A75-AA6E-054D0B2FE669}">
  <sheetPr>
    <tabColor rgb="FFFFC000"/>
  </sheetPr>
  <dimension ref="A1:Q24"/>
  <sheetViews>
    <sheetView workbookViewId="0"/>
  </sheetViews>
  <sheetFormatPr defaultRowHeight="15" x14ac:dyDescent="0.25"/>
  <cols>
    <col min="1" max="1" width="3.42578125" customWidth="1"/>
    <col min="2" max="9" width="13.42578125" customWidth="1"/>
    <col min="10" max="10" width="3.5703125" customWidth="1"/>
    <col min="11" max="11" width="31.7109375" customWidth="1"/>
    <col min="12" max="12" width="3.140625" customWidth="1"/>
    <col min="13" max="16" width="17.5703125" customWidth="1"/>
    <col min="17" max="17" width="1.5703125" customWidth="1"/>
  </cols>
  <sheetData>
    <row r="1" spans="1:17" x14ac:dyDescent="0.25">
      <c r="A1" s="26" t="s">
        <v>43</v>
      </c>
      <c r="B1" s="147" t="s">
        <v>138</v>
      </c>
      <c r="C1" s="147"/>
      <c r="D1" s="147"/>
      <c r="E1" s="147"/>
      <c r="F1" s="147"/>
      <c r="G1" s="147"/>
      <c r="H1" s="147"/>
      <c r="I1" s="147"/>
      <c r="K1" s="5" t="s">
        <v>1</v>
      </c>
      <c r="M1" s="147" t="s">
        <v>133</v>
      </c>
      <c r="N1" s="147"/>
      <c r="O1" s="147"/>
      <c r="P1" s="147"/>
    </row>
    <row r="2" spans="1:17" ht="22.5" customHeight="1" x14ac:dyDescent="0.25">
      <c r="B2" s="176" t="s">
        <v>137</v>
      </c>
      <c r="C2" s="176"/>
      <c r="D2" s="176"/>
      <c r="E2" s="176"/>
      <c r="F2" s="176"/>
      <c r="G2" s="176"/>
      <c r="H2" s="176"/>
      <c r="I2" s="176"/>
      <c r="K2" s="1"/>
      <c r="Q2" s="24"/>
    </row>
    <row r="3" spans="1:17" ht="18" customHeight="1" x14ac:dyDescent="0.25">
      <c r="B3" s="8"/>
      <c r="C3" s="8"/>
      <c r="D3" s="8"/>
      <c r="E3" s="8"/>
      <c r="F3" s="8"/>
      <c r="G3" s="8"/>
      <c r="H3" s="8"/>
      <c r="I3" s="8"/>
      <c r="K3" s="228" t="str">
        <f>IF(Q4=TRUE,"","Hajóvezető vagy kormányos szolgálatban - igazolt - menetben töltött, a hajóvezetői képesítés megszerzését követően, olyan nagyhajón teljesített 120 hajózási nap,  amelyen radarberendezés működik.")</f>
        <v>Hajóvezető vagy kormányos szolgálatban - igazolt - menetben töltött, a hajóvezetői képesítés megszerzését követően, olyan nagyhajón teljesített 120 hajózási nap,  amelyen radarberendezés működik.</v>
      </c>
      <c r="M3" s="175" t="str">
        <f>IF(D19=0,"Okmányigénylés","Írásos vizsgajelentkezési kérelem")</f>
        <v>Írásos vizsgajelentkezési kérelem</v>
      </c>
      <c r="N3" s="175"/>
      <c r="O3" s="175"/>
      <c r="P3" s="175"/>
      <c r="Q3" s="64"/>
    </row>
    <row r="4" spans="1:17" ht="18" customHeight="1" x14ac:dyDescent="0.25">
      <c r="B4" s="8"/>
      <c r="C4" s="8"/>
      <c r="D4" s="8"/>
      <c r="E4" s="8"/>
      <c r="F4" s="8"/>
      <c r="G4" s="8"/>
      <c r="H4" s="8"/>
      <c r="I4" s="8"/>
      <c r="K4" s="228"/>
      <c r="M4" s="178" t="s">
        <v>7</v>
      </c>
      <c r="N4" s="178"/>
      <c r="O4" s="178"/>
      <c r="P4" s="178"/>
      <c r="Q4" s="64" t="b">
        <v>0</v>
      </c>
    </row>
    <row r="5" spans="1:17" ht="18" customHeight="1" x14ac:dyDescent="0.25">
      <c r="B5" s="8"/>
      <c r="C5" s="8"/>
      <c r="D5" s="8"/>
      <c r="E5" s="8"/>
      <c r="F5" s="8"/>
      <c r="G5" s="8"/>
      <c r="H5" s="8"/>
      <c r="I5" s="8"/>
      <c r="K5" s="228"/>
      <c r="M5" s="178" t="s">
        <v>129</v>
      </c>
      <c r="N5" s="178"/>
      <c r="O5" s="178"/>
      <c r="P5" s="178"/>
      <c r="Q5" s="64"/>
    </row>
    <row r="6" spans="1:17" ht="25.5" customHeight="1" x14ac:dyDescent="0.25">
      <c r="B6" s="8"/>
      <c r="C6" s="8"/>
      <c r="D6" s="8"/>
      <c r="E6" s="8"/>
      <c r="F6" s="8"/>
      <c r="G6" s="8"/>
      <c r="H6" s="8"/>
      <c r="I6" s="8"/>
      <c r="K6" s="228"/>
      <c r="M6" s="175" t="s">
        <v>240</v>
      </c>
      <c r="N6" s="175"/>
      <c r="O6" s="175"/>
      <c r="P6" s="175"/>
      <c r="Q6" s="64"/>
    </row>
    <row r="7" spans="1:17" ht="25.5" customHeight="1" x14ac:dyDescent="0.25">
      <c r="B7" s="8"/>
      <c r="C7" s="8"/>
      <c r="D7" s="8"/>
      <c r="E7" s="8"/>
      <c r="F7" s="8"/>
      <c r="G7" s="8"/>
      <c r="H7" s="8"/>
      <c r="I7" s="8"/>
      <c r="K7" s="228"/>
      <c r="M7" s="175"/>
      <c r="N7" s="175"/>
      <c r="O7" s="175"/>
      <c r="P7" s="175"/>
      <c r="Q7" s="64"/>
    </row>
    <row r="8" spans="1:17" ht="18" customHeight="1" x14ac:dyDescent="0.25">
      <c r="B8" s="8"/>
      <c r="C8" s="8"/>
      <c r="D8" s="8"/>
      <c r="E8" s="8"/>
      <c r="F8" s="8"/>
      <c r="G8" s="8"/>
      <c r="H8" s="8"/>
      <c r="I8" s="8"/>
      <c r="K8" s="228"/>
      <c r="M8" s="175" t="str">
        <f>IF(Q4=TRUE,"","UNIÓS hajóvezetői bizonyítvány, A, B vagy C kategóriájú hajóvezetői bizonyítvány megléte")</f>
        <v>UNIÓS hajóvezetői bizonyítvány, A, B vagy C kategóriájú hajóvezetői bizonyítvány megléte</v>
      </c>
      <c r="N8" s="175"/>
      <c r="O8" s="175"/>
      <c r="P8" s="175"/>
      <c r="Q8" s="64"/>
    </row>
    <row r="9" spans="1:17" ht="18" customHeight="1" x14ac:dyDescent="0.25">
      <c r="B9" s="8"/>
      <c r="C9" s="8"/>
      <c r="D9" s="8"/>
      <c r="E9" s="8"/>
      <c r="F9" s="8"/>
      <c r="G9" s="8"/>
      <c r="H9" s="8"/>
      <c r="I9" s="8"/>
      <c r="K9" s="229" t="str">
        <f>IF(Q4=TRUE,"","A teljesített szolgálatok időszakára vonatkozó hajónaplót vagy a vízijármű vezetője által hitelesített hajónapló kivonatát a vizsgaközponthoz be kell nyújtani!")</f>
        <v>A teljesített szolgálatok időszakára vonatkozó hajónaplót vagy a vízijármű vezetője által hitelesített hajónapló kivonatát a vizsgaközponthoz be kell nyújtani!</v>
      </c>
      <c r="M9" s="175"/>
      <c r="N9" s="175"/>
      <c r="O9" s="175"/>
      <c r="P9" s="175"/>
      <c r="Q9" s="64"/>
    </row>
    <row r="10" spans="1:17" ht="18" customHeight="1" x14ac:dyDescent="0.25">
      <c r="B10" s="8"/>
      <c r="C10" s="8"/>
      <c r="D10" s="8"/>
      <c r="E10" s="8"/>
      <c r="F10" s="8"/>
      <c r="G10" s="8"/>
      <c r="H10" s="8"/>
      <c r="I10" s="8"/>
      <c r="J10" s="9"/>
      <c r="K10" s="229"/>
      <c r="M10" s="175"/>
      <c r="N10" s="175"/>
      <c r="O10" s="175"/>
      <c r="P10" s="175"/>
      <c r="Q10" s="64"/>
    </row>
    <row r="11" spans="1:17" ht="18" customHeight="1" x14ac:dyDescent="0.25">
      <c r="B11" s="8"/>
      <c r="C11" s="8"/>
      <c r="D11" s="8"/>
      <c r="E11" s="8"/>
      <c r="F11" s="8"/>
      <c r="G11" s="8"/>
      <c r="H11" s="8"/>
      <c r="I11" s="8"/>
      <c r="K11" s="229"/>
      <c r="M11" s="175"/>
      <c r="N11" s="175"/>
      <c r="O11" s="175"/>
      <c r="P11" s="175"/>
      <c r="Q11" s="64"/>
    </row>
    <row r="12" spans="1:17" ht="18" customHeight="1" x14ac:dyDescent="0.25">
      <c r="B12" s="8"/>
      <c r="C12" s="8"/>
      <c r="D12" s="8"/>
      <c r="E12" s="8"/>
      <c r="F12" s="8"/>
      <c r="G12" s="8"/>
      <c r="H12" s="8"/>
      <c r="I12" s="8"/>
      <c r="K12" s="229"/>
      <c r="M12" s="178" t="s">
        <v>10</v>
      </c>
      <c r="N12" s="178"/>
      <c r="O12" s="178"/>
      <c r="P12" s="178"/>
      <c r="Q12" s="64"/>
    </row>
    <row r="13" spans="1:17" ht="24.75" customHeight="1" x14ac:dyDescent="0.25">
      <c r="B13" s="291" t="s">
        <v>215</v>
      </c>
      <c r="C13" s="291"/>
      <c r="D13" s="291"/>
      <c r="E13" s="291"/>
      <c r="F13" s="291"/>
      <c r="G13" s="291"/>
      <c r="H13" s="291"/>
      <c r="I13" s="291"/>
      <c r="K13" s="229"/>
      <c r="M13" s="175" t="s">
        <v>110</v>
      </c>
      <c r="N13" s="175"/>
      <c r="O13" s="175"/>
      <c r="P13" s="175"/>
      <c r="Q13" s="64"/>
    </row>
    <row r="14" spans="1:17" ht="8.25" customHeight="1" x14ac:dyDescent="0.25">
      <c r="K14" s="71"/>
      <c r="M14" s="196"/>
      <c r="N14" s="196"/>
      <c r="O14" s="196"/>
      <c r="P14" s="196"/>
    </row>
    <row r="15" spans="1:17" x14ac:dyDescent="0.25">
      <c r="B15" s="160" t="s">
        <v>13</v>
      </c>
      <c r="C15" s="161"/>
      <c r="D15" s="44"/>
      <c r="K15" s="1" t="s">
        <v>119</v>
      </c>
      <c r="M15" s="196" t="s">
        <v>164</v>
      </c>
      <c r="N15" s="196"/>
      <c r="O15" s="196"/>
      <c r="P15" s="196"/>
    </row>
    <row r="16" spans="1:17" s="2" customFormat="1" ht="124.5" customHeight="1" x14ac:dyDescent="0.25">
      <c r="B16" s="3" t="s">
        <v>139</v>
      </c>
      <c r="C16" s="3" t="s">
        <v>140</v>
      </c>
      <c r="D16" s="3" t="s">
        <v>84</v>
      </c>
      <c r="E16" s="37"/>
      <c r="F16" s="37"/>
      <c r="G16" s="37"/>
      <c r="K16" s="43">
        <f>SUM(D18:D19)</f>
        <v>45600</v>
      </c>
      <c r="M16" s="287" t="str">
        <f>IF($Q$4=TRUE,"A hajóskapitányi szolgálat igazolására a következő dokumentumok szolgálnak:
a) a hajós szolgálati könyv,
b) a hajónapló,
c) a munkáltatói igazolás,
d) a hajózási hatóság vagy a vizsgaközpont rendelkezésére álló dokumentumok.","A gyakorlati vizsgatárgy vizsgája a sikeres tesztvizsgát követően kezdhető meg.")</f>
        <v>A gyakorlati vizsgatárgy vizsgája a sikeres tesztvizsgát követően kezdhető meg.</v>
      </c>
      <c r="N16" s="287"/>
      <c r="O16" s="287"/>
      <c r="P16" s="287"/>
    </row>
    <row r="17" spans="2:16" s="2" customFormat="1" ht="15.75" customHeight="1" x14ac:dyDescent="0.25">
      <c r="B17" s="6" t="str">
        <f>IF(B18&lt;&gt;0,"Vizsga","")</f>
        <v>Vizsga</v>
      </c>
      <c r="C17" s="6" t="str">
        <f t="shared" ref="C17" si="0">IF(C18&lt;&gt;0,"Vizsga","")</f>
        <v>Vizsga</v>
      </c>
      <c r="D17" s="42" t="s">
        <v>85</v>
      </c>
      <c r="E17" s="36"/>
      <c r="F17" s="36"/>
      <c r="G17" s="36"/>
      <c r="K17" s="17"/>
      <c r="L17" s="17"/>
      <c r="M17" s="287" t="str">
        <f>IF($Q$4=TRUE,"","A radar segítségével hajózó hajóvezető kompetenciájának felmérésére szolgáló gyakorlati vizsgákhoz használt vízi járműveknek működőképes belvízi ECDIS rendszerrel vagy az elektronikus térképek megjelenítésére szolgáló hasonló eszközzel kell rendelkezniük.")</f>
        <v>A radar segítségével hajózó hajóvezető kompetenciájának felmérésére szolgáló gyakorlati vizsgákhoz használt vízi járműveknek működőképes belvízi ECDIS rendszerrel vagy az elektronikus térképek megjelenítésére szolgáló hasonló eszközzel kell rendelkezniük.</v>
      </c>
      <c r="N17" s="287"/>
      <c r="O17" s="287"/>
      <c r="P17" s="287"/>
    </row>
    <row r="18" spans="2:16" s="1" customFormat="1" x14ac:dyDescent="0.25">
      <c r="B18" s="33">
        <f>IF($Q$4=TRUE,0,KEZDŐLAP!F25)</f>
        <v>10800</v>
      </c>
      <c r="C18" s="33">
        <f>IF($Q$4=TRUE,0,KEZDŐLAP!F29)</f>
        <v>28300</v>
      </c>
      <c r="D18" s="66">
        <f>KEZDŐLAP!F30</f>
        <v>6500</v>
      </c>
      <c r="E18" s="70"/>
      <c r="F18" s="70"/>
      <c r="G18" s="70"/>
      <c r="J18" s="2"/>
      <c r="K18" s="17"/>
      <c r="L18" s="17"/>
      <c r="M18" s="287"/>
      <c r="N18" s="287"/>
      <c r="O18" s="287"/>
      <c r="P18" s="287"/>
    </row>
    <row r="19" spans="2:16" x14ac:dyDescent="0.25">
      <c r="B19" s="220" t="s">
        <v>88</v>
      </c>
      <c r="C19" s="222"/>
      <c r="D19" s="33">
        <f>SUM(B18:C18)</f>
        <v>39100</v>
      </c>
      <c r="E19" s="19"/>
      <c r="K19" s="17"/>
      <c r="L19" s="17"/>
      <c r="M19" s="287"/>
      <c r="N19" s="287"/>
      <c r="O19" s="287"/>
      <c r="P19" s="287"/>
    </row>
    <row r="20" spans="2:16" x14ac:dyDescent="0.25">
      <c r="L20" s="17"/>
      <c r="M20" s="287"/>
      <c r="N20" s="287"/>
      <c r="O20" s="287"/>
      <c r="P20" s="287"/>
    </row>
    <row r="21" spans="2:16" x14ac:dyDescent="0.25">
      <c r="L21" s="17"/>
      <c r="M21" s="17"/>
      <c r="N21" s="17"/>
      <c r="O21" s="17"/>
      <c r="P21" s="17"/>
    </row>
    <row r="22" spans="2:16" x14ac:dyDescent="0.25">
      <c r="L22" s="17"/>
      <c r="M22" s="17"/>
      <c r="N22" s="17"/>
      <c r="O22" s="17"/>
      <c r="P22" s="17"/>
    </row>
    <row r="23" spans="2:16" x14ac:dyDescent="0.25">
      <c r="L23" s="17"/>
      <c r="M23" s="17"/>
      <c r="N23" s="17"/>
      <c r="O23" s="17"/>
      <c r="P23" s="17"/>
    </row>
    <row r="24" spans="2:16" x14ac:dyDescent="0.25">
      <c r="L24" s="17"/>
      <c r="M24" s="17"/>
      <c r="N24" s="17"/>
      <c r="O24" s="17"/>
      <c r="P24" s="17"/>
    </row>
  </sheetData>
  <sheetProtection sheet="1" selectLockedCells="1"/>
  <protectedRanges>
    <protectedRange password="EFFA" sqref="L3:P4 Q3:Q13 E16:G18 B1:P1 J2:Q2 A14:A18 B3:J12 I17:J18 D15:I15 N6:P10 M6 M12:P14 M8:M10 L5:L14 D13:J14 M15:O15 K16 B13:C18" name="Tartomány1"/>
    <protectedRange password="EFFA" sqref="K3:K14" name="Tartomány1_2"/>
    <protectedRange password="EFFA" sqref="M5:P5" name="Tartomány1_1"/>
    <protectedRange password="EFFA" sqref="A1" name="Tartomány1_3"/>
    <protectedRange password="EFFA" sqref="D16:D18" name="Tartomány1_5"/>
    <protectedRange password="EFFA" sqref="K15" name="Tartomány1_6"/>
    <protectedRange password="EFFA" sqref="K18:N18 K17:L17" name="Tartomány1_2_1"/>
    <protectedRange password="EFFA" sqref="B2:I2" name="Tartomány1_7"/>
    <protectedRange password="EFFA" sqref="M16:N17" name="Tartomány1_2_1_1"/>
  </protectedRanges>
  <mergeCells count="19">
    <mergeCell ref="M16:P16"/>
    <mergeCell ref="M15:P15"/>
    <mergeCell ref="B15:C15"/>
    <mergeCell ref="B19:C19"/>
    <mergeCell ref="M17:P20"/>
    <mergeCell ref="M12:P12"/>
    <mergeCell ref="M13:P13"/>
    <mergeCell ref="M14:P14"/>
    <mergeCell ref="B1:I1"/>
    <mergeCell ref="M1:P1"/>
    <mergeCell ref="B2:I2"/>
    <mergeCell ref="K3:K8"/>
    <mergeCell ref="M3:P3"/>
    <mergeCell ref="M4:P4"/>
    <mergeCell ref="M5:P5"/>
    <mergeCell ref="M6:P7"/>
    <mergeCell ref="M8:P11"/>
    <mergeCell ref="K9:K13"/>
    <mergeCell ref="B13:I13"/>
  </mergeCells>
  <conditionalFormatting sqref="B17:G17">
    <cfRule type="containsText" dxfId="39" priority="1" operator="containsText" text="Vizsga">
      <formula>NOT(ISERROR(SEARCH("Vizsga",B17)))</formula>
    </cfRule>
    <cfRule type="containsText" dxfId="38" priority="2" operator="containsText" text="&quot;Vizsga&quot;">
      <formula>NOT(ISERROR(SEARCH("""Vizsga""",B17)))</formula>
    </cfRule>
  </conditionalFormatting>
  <hyperlinks>
    <hyperlink ref="A1" location="KEZDŐLAP!A1" display="X" xr:uid="{EB74FF71-E30C-4477-8F21-397C9D14C49E}"/>
  </hyperlinks>
  <pageMargins left="0.7" right="0.7" top="0.75" bottom="0.75" header="0.3" footer="0.3"/>
  <pageSetup paperSize="9"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0597" r:id="rId4" name="Check Box 5">
              <controlPr defaultSize="0" autoFill="0" autoLine="0" autoPict="0">
                <anchor moveWithCells="1">
                  <from>
                    <xdr:col>1</xdr:col>
                    <xdr:colOff>304800</xdr:colOff>
                    <xdr:row>2</xdr:row>
                    <xdr:rowOff>190500</xdr:rowOff>
                  </from>
                  <to>
                    <xdr:col>7</xdr:col>
                    <xdr:colOff>295275</xdr:colOff>
                    <xdr:row>5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CFB30-E358-45D2-8ED6-A6C766A8442D}">
  <sheetPr>
    <tabColor rgb="FFFFC000"/>
  </sheetPr>
  <dimension ref="A1:Q27"/>
  <sheetViews>
    <sheetView workbookViewId="0"/>
  </sheetViews>
  <sheetFormatPr defaultRowHeight="15" x14ac:dyDescent="0.25"/>
  <cols>
    <col min="1" max="1" width="3.42578125" customWidth="1"/>
    <col min="2" max="7" width="11.28515625" customWidth="1"/>
    <col min="8" max="8" width="12.140625" customWidth="1"/>
    <col min="9" max="9" width="11.28515625" customWidth="1"/>
    <col min="10" max="10" width="3.5703125" customWidth="1"/>
    <col min="11" max="11" width="32.7109375" customWidth="1"/>
    <col min="12" max="12" width="3.140625" customWidth="1"/>
    <col min="13" max="16" width="17.5703125" customWidth="1"/>
    <col min="17" max="17" width="0.85546875" customWidth="1"/>
  </cols>
  <sheetData>
    <row r="1" spans="1:17" ht="18" customHeight="1" x14ac:dyDescent="0.25">
      <c r="A1" s="26" t="s">
        <v>43</v>
      </c>
      <c r="B1" s="147" t="s">
        <v>162</v>
      </c>
      <c r="C1" s="147"/>
      <c r="D1" s="147"/>
      <c r="E1" s="147"/>
      <c r="F1" s="147"/>
      <c r="G1" s="147"/>
      <c r="H1" s="147"/>
      <c r="I1" s="147"/>
      <c r="K1" s="5" t="s">
        <v>1</v>
      </c>
      <c r="M1" s="147" t="s">
        <v>165</v>
      </c>
      <c r="N1" s="147"/>
      <c r="O1" s="147"/>
      <c r="P1" s="147"/>
    </row>
    <row r="2" spans="1:17" ht="22.5" customHeight="1" x14ac:dyDescent="0.25">
      <c r="B2" s="176" t="s">
        <v>137</v>
      </c>
      <c r="C2" s="176"/>
      <c r="D2" s="176"/>
      <c r="E2" s="176"/>
      <c r="F2" s="176"/>
      <c r="G2" s="176"/>
      <c r="H2" s="176"/>
      <c r="I2" s="176"/>
      <c r="K2" s="149" t="str">
        <f>IF(Q4=TRUE,"","Legalább 720 nap hajózási idő, és ebből legalább 540 nap hajózási idő képesített hajóvezetőként, és legalább 180 nap hajózási idő nagy kötelék irányításában legalább kormányosi szolgálatban.")</f>
        <v>Legalább 720 nap hajózási idő, és ebből legalább 540 nap hajózási idő képesített hajóvezetőként, és legalább 180 nap hajózási idő nagy kötelék irányításában legalább kormányosi szolgálatban.</v>
      </c>
      <c r="Q2" s="24"/>
    </row>
    <row r="3" spans="1:17" ht="18" customHeight="1" x14ac:dyDescent="0.25">
      <c r="B3" s="8"/>
      <c r="C3" s="8"/>
      <c r="D3" s="8"/>
      <c r="E3" s="8"/>
      <c r="F3" s="8"/>
      <c r="G3" s="8"/>
      <c r="H3" s="8"/>
      <c r="I3" s="8"/>
      <c r="K3" s="149"/>
      <c r="M3" s="175" t="s">
        <v>163</v>
      </c>
      <c r="N3" s="175"/>
      <c r="O3" s="175"/>
      <c r="P3" s="175"/>
      <c r="Q3" s="64"/>
    </row>
    <row r="4" spans="1:17" ht="18" customHeight="1" x14ac:dyDescent="0.25">
      <c r="B4" s="8"/>
      <c r="C4" s="8"/>
      <c r="D4" s="8"/>
      <c r="E4" s="8"/>
      <c r="F4" s="8"/>
      <c r="G4" s="8"/>
      <c r="H4" s="8"/>
      <c r="I4" s="8"/>
      <c r="K4" s="149"/>
      <c r="M4" s="178" t="s">
        <v>7</v>
      </c>
      <c r="N4" s="178"/>
      <c r="O4" s="178"/>
      <c r="P4" s="178"/>
      <c r="Q4" s="64" t="b">
        <v>0</v>
      </c>
    </row>
    <row r="5" spans="1:17" ht="18" customHeight="1" x14ac:dyDescent="0.25">
      <c r="B5" s="8"/>
      <c r="C5" s="8"/>
      <c r="D5" s="8"/>
      <c r="E5" s="8"/>
      <c r="F5" s="8"/>
      <c r="G5" s="8"/>
      <c r="H5" s="8"/>
      <c r="I5" s="8"/>
      <c r="K5" s="149"/>
      <c r="M5" s="178" t="s">
        <v>129</v>
      </c>
      <c r="N5" s="178"/>
      <c r="O5" s="178"/>
      <c r="P5" s="178"/>
      <c r="Q5" s="64"/>
    </row>
    <row r="6" spans="1:17" ht="18" customHeight="1" x14ac:dyDescent="0.25">
      <c r="B6" s="8"/>
      <c r="C6" s="8"/>
      <c r="D6" s="8"/>
      <c r="E6" s="8"/>
      <c r="F6" s="8"/>
      <c r="G6" s="8"/>
      <c r="H6" s="8"/>
      <c r="I6" s="8"/>
      <c r="K6" s="149"/>
      <c r="M6" s="175" t="s">
        <v>131</v>
      </c>
      <c r="N6" s="175"/>
      <c r="O6" s="175"/>
      <c r="P6" s="175"/>
      <c r="Q6" s="64"/>
    </row>
    <row r="7" spans="1:17" ht="18" customHeight="1" x14ac:dyDescent="0.25">
      <c r="B7" s="8"/>
      <c r="C7" s="8"/>
      <c r="D7" s="8"/>
      <c r="E7" s="8"/>
      <c r="F7" s="8"/>
      <c r="G7" s="8"/>
      <c r="H7" s="8"/>
      <c r="I7" s="8"/>
      <c r="K7" s="149"/>
      <c r="M7" s="175"/>
      <c r="N7" s="175"/>
      <c r="O7" s="175"/>
      <c r="P7" s="175"/>
      <c r="Q7" s="64"/>
    </row>
    <row r="8" spans="1:17" ht="10.5" customHeight="1" x14ac:dyDescent="0.25">
      <c r="B8" s="8"/>
      <c r="C8" s="8"/>
      <c r="D8" s="8"/>
      <c r="E8" s="8"/>
      <c r="F8" s="8"/>
      <c r="G8" s="8"/>
      <c r="H8" s="8"/>
      <c r="I8" s="8"/>
      <c r="K8" s="149"/>
      <c r="M8" s="175" t="str">
        <f>IF(Q4=TRUE,"","UNIÓS hajóvezetői bizonyítvány megléte")</f>
        <v>UNIÓS hajóvezetői bizonyítvány megléte</v>
      </c>
      <c r="N8" s="175"/>
      <c r="O8" s="175"/>
      <c r="P8" s="175"/>
      <c r="Q8" s="64"/>
    </row>
    <row r="9" spans="1:17" ht="10.5" customHeight="1" x14ac:dyDescent="0.25">
      <c r="B9" s="8"/>
      <c r="C9" s="8"/>
      <c r="D9" s="8"/>
      <c r="E9" s="8"/>
      <c r="F9" s="8"/>
      <c r="G9" s="8"/>
      <c r="H9" s="8"/>
      <c r="I9" s="8"/>
      <c r="K9" s="229"/>
      <c r="M9" s="175"/>
      <c r="N9" s="175"/>
      <c r="O9" s="175"/>
      <c r="P9" s="175"/>
      <c r="Q9" s="64"/>
    </row>
    <row r="10" spans="1:17" ht="10.5" customHeight="1" x14ac:dyDescent="0.25">
      <c r="B10" s="8"/>
      <c r="C10" s="8"/>
      <c r="D10" s="8"/>
      <c r="E10" s="8"/>
      <c r="F10" s="8"/>
      <c r="G10" s="8"/>
      <c r="H10" s="8"/>
      <c r="I10" s="8"/>
      <c r="J10" s="9"/>
      <c r="K10" s="229"/>
      <c r="M10" s="175"/>
      <c r="N10" s="175"/>
      <c r="O10" s="175"/>
      <c r="P10" s="175"/>
      <c r="Q10" s="64"/>
    </row>
    <row r="11" spans="1:17" ht="10.5" customHeight="1" x14ac:dyDescent="0.25">
      <c r="B11" s="8"/>
      <c r="C11" s="8"/>
      <c r="D11" s="8"/>
      <c r="E11" s="8"/>
      <c r="F11" s="8"/>
      <c r="G11" s="8"/>
      <c r="H11" s="8"/>
      <c r="I11" s="8"/>
      <c r="K11" s="229"/>
      <c r="M11" s="175"/>
      <c r="N11" s="175"/>
      <c r="O11" s="175"/>
      <c r="P11" s="175"/>
      <c r="Q11" s="64"/>
    </row>
    <row r="12" spans="1:17" ht="18" customHeight="1" x14ac:dyDescent="0.25">
      <c r="B12" s="231" t="s">
        <v>215</v>
      </c>
      <c r="C12" s="231"/>
      <c r="D12" s="231"/>
      <c r="E12" s="231"/>
      <c r="F12" s="231"/>
      <c r="G12" s="231"/>
      <c r="H12" s="231"/>
      <c r="I12" s="231"/>
      <c r="K12" s="229"/>
      <c r="M12" s="178" t="s">
        <v>10</v>
      </c>
      <c r="N12" s="178"/>
      <c r="O12" s="178"/>
      <c r="P12" s="178"/>
      <c r="Q12" s="64"/>
    </row>
    <row r="13" spans="1:17" ht="18" customHeight="1" x14ac:dyDescent="0.25">
      <c r="B13" s="231"/>
      <c r="C13" s="231"/>
      <c r="D13" s="231"/>
      <c r="E13" s="231"/>
      <c r="F13" s="231"/>
      <c r="G13" s="231"/>
      <c r="H13" s="231"/>
      <c r="I13" s="231"/>
      <c r="K13" s="229"/>
      <c r="M13" s="175" t="s">
        <v>110</v>
      </c>
      <c r="N13" s="175"/>
      <c r="O13" s="175"/>
      <c r="P13" s="175"/>
      <c r="Q13" s="64"/>
    </row>
    <row r="14" spans="1:17" ht="8.25" customHeight="1" x14ac:dyDescent="0.25">
      <c r="K14" s="18"/>
      <c r="M14" s="196"/>
      <c r="N14" s="196"/>
      <c r="O14" s="196"/>
      <c r="P14" s="196"/>
    </row>
    <row r="15" spans="1:17" x14ac:dyDescent="0.25">
      <c r="K15" s="196" t="s">
        <v>164</v>
      </c>
      <c r="L15" s="196"/>
      <c r="M15" s="196"/>
      <c r="N15" s="196"/>
      <c r="O15" s="196"/>
      <c r="P15" s="196"/>
    </row>
    <row r="16" spans="1:17" s="2" customFormat="1" ht="37.5" customHeight="1" x14ac:dyDescent="0.25">
      <c r="B16"/>
      <c r="C16"/>
      <c r="D16"/>
      <c r="E16"/>
      <c r="F16" s="37"/>
      <c r="G16" s="37"/>
      <c r="H16" s="6" t="s">
        <v>119</v>
      </c>
      <c r="K16" s="307" t="s">
        <v>161</v>
      </c>
      <c r="L16" s="308"/>
      <c r="M16" s="308"/>
      <c r="N16" s="308"/>
      <c r="O16" s="308"/>
      <c r="P16" s="309"/>
    </row>
    <row r="17" spans="2:16" s="2" customFormat="1" ht="27" customHeight="1" x14ac:dyDescent="0.25">
      <c r="B17"/>
      <c r="C17"/>
      <c r="D17"/>
      <c r="E17"/>
      <c r="F17" s="37"/>
      <c r="G17" s="37"/>
      <c r="H17" s="79">
        <f>KEZDŐLAP!F30</f>
        <v>6500</v>
      </c>
      <c r="K17" s="292" t="s">
        <v>167</v>
      </c>
      <c r="L17" s="293"/>
      <c r="M17" s="293"/>
      <c r="N17" s="293"/>
      <c r="O17" s="293"/>
      <c r="P17" s="294"/>
    </row>
    <row r="18" spans="2:16" s="2" customFormat="1" ht="27" customHeight="1" x14ac:dyDescent="0.25">
      <c r="B18"/>
      <c r="C18"/>
      <c r="D18"/>
      <c r="E18"/>
      <c r="F18" s="36"/>
      <c r="G18" s="36"/>
      <c r="K18" s="295"/>
      <c r="L18" s="296"/>
      <c r="M18" s="296"/>
      <c r="N18" s="296"/>
      <c r="O18" s="296"/>
      <c r="P18" s="297"/>
    </row>
    <row r="19" spans="2:16" s="1" customFormat="1" ht="27" customHeight="1" x14ac:dyDescent="0.25">
      <c r="B19"/>
      <c r="C19"/>
      <c r="D19"/>
      <c r="E19"/>
      <c r="F19" s="70"/>
      <c r="G19" s="70"/>
      <c r="J19" s="2"/>
      <c r="K19" s="298"/>
      <c r="L19" s="299"/>
      <c r="M19" s="299"/>
      <c r="N19" s="299"/>
      <c r="O19" s="299"/>
      <c r="P19" s="300"/>
    </row>
    <row r="20" spans="2:16" ht="13.5" customHeight="1" x14ac:dyDescent="0.25">
      <c r="K20" s="292" t="str">
        <f>IF(Q4=TRUE,"A hajóskapitányi szolgálat igazolására a következő dokumentumok szolgálnak:
a) a hajós szolgálati könyv,
b) a hajónapló,
c) a munkáltatói igazolás,
d) a hajózási hatóság vagy a vizsgaközpont rendelkezésére álló dokumentumok.","")</f>
        <v/>
      </c>
      <c r="L20" s="293"/>
      <c r="M20" s="293"/>
      <c r="N20" s="293"/>
      <c r="O20" s="293"/>
      <c r="P20" s="294"/>
    </row>
    <row r="21" spans="2:16" ht="13.5" customHeight="1" x14ac:dyDescent="0.25">
      <c r="K21" s="295"/>
      <c r="L21" s="296"/>
      <c r="M21" s="296"/>
      <c r="N21" s="296"/>
      <c r="O21" s="296"/>
      <c r="P21" s="297"/>
    </row>
    <row r="22" spans="2:16" ht="13.5" customHeight="1" x14ac:dyDescent="0.25">
      <c r="K22" s="295"/>
      <c r="L22" s="296"/>
      <c r="M22" s="296"/>
      <c r="N22" s="296"/>
      <c r="O22" s="296"/>
      <c r="P22" s="297"/>
    </row>
    <row r="23" spans="2:16" ht="13.5" customHeight="1" x14ac:dyDescent="0.25">
      <c r="K23" s="295"/>
      <c r="L23" s="296"/>
      <c r="M23" s="296"/>
      <c r="N23" s="296"/>
      <c r="O23" s="296"/>
      <c r="P23" s="297"/>
    </row>
    <row r="24" spans="2:16" ht="13.5" customHeight="1" x14ac:dyDescent="0.25">
      <c r="K24" s="295"/>
      <c r="L24" s="296"/>
      <c r="M24" s="296"/>
      <c r="N24" s="296"/>
      <c r="O24" s="296"/>
      <c r="P24" s="297"/>
    </row>
    <row r="25" spans="2:16" ht="13.5" customHeight="1" x14ac:dyDescent="0.25">
      <c r="K25" s="298"/>
      <c r="L25" s="299"/>
      <c r="M25" s="299"/>
      <c r="N25" s="299"/>
      <c r="O25" s="299"/>
      <c r="P25" s="300"/>
    </row>
    <row r="26" spans="2:16" x14ac:dyDescent="0.25">
      <c r="K26" s="301" t="s">
        <v>166</v>
      </c>
      <c r="L26" s="302"/>
      <c r="M26" s="302"/>
      <c r="N26" s="302"/>
      <c r="O26" s="302"/>
      <c r="P26" s="303"/>
    </row>
    <row r="27" spans="2:16" x14ac:dyDescent="0.25">
      <c r="K27" s="304"/>
      <c r="L27" s="305"/>
      <c r="M27" s="305"/>
      <c r="N27" s="305"/>
      <c r="O27" s="305"/>
      <c r="P27" s="306"/>
    </row>
  </sheetData>
  <sheetProtection sheet="1" selectLockedCells="1"/>
  <protectedRanges>
    <protectedRange password="EFFA" sqref="L3:P4 Q3:Q13 B1:P1 I15 A14:A19 I18:J19 N15:O15 N6:P10 M6 M12:P14 M8:M10 L5:L14 B3:J14 K15 H17 F16:G19 D15:G15 J2 L2:Q2" name="Tartomány1"/>
    <protectedRange password="EFFA" sqref="K2 K4:K14" name="Tartomány1_2"/>
    <protectedRange password="EFFA" sqref="M5:P5" name="Tartomány1_1"/>
    <protectedRange password="EFFA" sqref="A1" name="Tartomány1_3"/>
    <protectedRange password="EFFA" sqref="H16" name="Tartomány1_6"/>
    <protectedRange password="EFFA" sqref="K22:N22 L21" name="Tartomány1_2_1"/>
    <protectedRange password="EFFA" sqref="B2:I2" name="Tartomány1_7"/>
    <protectedRange password="EFFA" sqref="K20 N20:N21 K16 M20 N16" name="Tartomány1_2_1_1"/>
  </protectedRanges>
  <mergeCells count="19">
    <mergeCell ref="B1:I1"/>
    <mergeCell ref="M1:P1"/>
    <mergeCell ref="B2:I2"/>
    <mergeCell ref="M3:P3"/>
    <mergeCell ref="M4:P4"/>
    <mergeCell ref="B12:I13"/>
    <mergeCell ref="K20:P25"/>
    <mergeCell ref="K17:P19"/>
    <mergeCell ref="K2:K8"/>
    <mergeCell ref="K26:P27"/>
    <mergeCell ref="K16:P16"/>
    <mergeCell ref="M12:P12"/>
    <mergeCell ref="M13:P13"/>
    <mergeCell ref="M14:P14"/>
    <mergeCell ref="K15:P15"/>
    <mergeCell ref="M5:P5"/>
    <mergeCell ref="M6:P7"/>
    <mergeCell ref="M8:P11"/>
    <mergeCell ref="K9:K13"/>
  </mergeCells>
  <conditionalFormatting sqref="F18:G18">
    <cfRule type="containsText" dxfId="37" priority="1" operator="containsText" text="Vizsga">
      <formula>NOT(ISERROR(SEARCH("Vizsga",F18)))</formula>
    </cfRule>
    <cfRule type="containsText" dxfId="36" priority="2" operator="containsText" text="&quot;Vizsga&quot;">
      <formula>NOT(ISERROR(SEARCH("""Vizsga""",F18)))</formula>
    </cfRule>
  </conditionalFormatting>
  <hyperlinks>
    <hyperlink ref="A1" location="KEZDŐLAP!A1" display="X" xr:uid="{9E7BE3C3-B320-439F-8FF9-AD70F287294F}"/>
  </hyperlinks>
  <pageMargins left="0.7" right="0.7" top="0.75" bottom="0.75" header="0.3" footer="0.3"/>
  <pageSetup paperSize="9"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9025" r:id="rId4" name="Check Box 1">
              <controlPr defaultSize="0" autoFill="0" autoLine="0" autoPict="0">
                <anchor moveWithCells="1">
                  <from>
                    <xdr:col>1</xdr:col>
                    <xdr:colOff>304800</xdr:colOff>
                    <xdr:row>2</xdr:row>
                    <xdr:rowOff>190500</xdr:rowOff>
                  </from>
                  <to>
                    <xdr:col>8</xdr:col>
                    <xdr:colOff>342900</xdr:colOff>
                    <xdr:row>5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6AD5B-7BBA-4F0D-A1FA-9695106DD8F6}">
  <sheetPr>
    <tabColor rgb="FFFFC000"/>
  </sheetPr>
  <dimension ref="A1:Q22"/>
  <sheetViews>
    <sheetView workbookViewId="0"/>
  </sheetViews>
  <sheetFormatPr defaultRowHeight="15" x14ac:dyDescent="0.25"/>
  <cols>
    <col min="1" max="1" width="3.42578125" customWidth="1"/>
    <col min="2" max="9" width="11.28515625" customWidth="1"/>
    <col min="10" max="10" width="3.5703125" customWidth="1"/>
    <col min="11" max="11" width="31.7109375" customWidth="1"/>
    <col min="12" max="12" width="3.140625" customWidth="1"/>
    <col min="13" max="16" width="17.5703125" customWidth="1"/>
    <col min="17" max="17" width="1.5703125" customWidth="1"/>
  </cols>
  <sheetData>
    <row r="1" spans="1:17" x14ac:dyDescent="0.25">
      <c r="A1" s="26" t="s">
        <v>43</v>
      </c>
      <c r="B1" s="147" t="s">
        <v>168</v>
      </c>
      <c r="C1" s="147"/>
      <c r="D1" s="147"/>
      <c r="E1" s="147"/>
      <c r="F1" s="147"/>
      <c r="G1" s="147"/>
      <c r="H1" s="147"/>
      <c r="I1" s="147"/>
      <c r="K1" s="5" t="s">
        <v>1</v>
      </c>
      <c r="M1" s="147" t="s">
        <v>133</v>
      </c>
      <c r="N1" s="147"/>
      <c r="O1" s="147"/>
      <c r="P1" s="147"/>
    </row>
    <row r="2" spans="1:17" ht="22.5" customHeight="1" x14ac:dyDescent="0.25">
      <c r="B2" s="176" t="s">
        <v>171</v>
      </c>
      <c r="C2" s="176"/>
      <c r="D2" s="176"/>
      <c r="E2" s="176"/>
      <c r="F2" s="176"/>
      <c r="G2" s="176"/>
      <c r="H2" s="176"/>
      <c r="I2" s="176"/>
      <c r="K2" s="1"/>
      <c r="Q2" s="24"/>
    </row>
    <row r="3" spans="1:17" ht="18" customHeight="1" x14ac:dyDescent="0.25">
      <c r="B3" s="8"/>
      <c r="C3" s="8"/>
      <c r="D3" s="8"/>
      <c r="E3" s="8"/>
      <c r="F3" s="8"/>
      <c r="G3" s="8"/>
      <c r="H3" s="8"/>
      <c r="I3" s="8"/>
      <c r="K3" s="149" t="s">
        <v>172</v>
      </c>
      <c r="M3" s="175" t="str">
        <f>IF(D17=0,"Okmányigénylés","Írásos vizsgajelentkezési kérelem")</f>
        <v>Írásos vizsgajelentkezési kérelem</v>
      </c>
      <c r="N3" s="175"/>
      <c r="O3" s="175"/>
      <c r="P3" s="175"/>
      <c r="Q3" s="64"/>
    </row>
    <row r="4" spans="1:17" ht="18" customHeight="1" x14ac:dyDescent="0.25">
      <c r="B4" s="8"/>
      <c r="C4" s="8"/>
      <c r="D4" s="8"/>
      <c r="E4" s="8"/>
      <c r="F4" s="8"/>
      <c r="G4" s="8"/>
      <c r="H4" s="8"/>
      <c r="I4" s="8"/>
      <c r="K4" s="149"/>
      <c r="M4" s="178" t="s">
        <v>7</v>
      </c>
      <c r="N4" s="178"/>
      <c r="O4" s="178"/>
      <c r="P4" s="178"/>
      <c r="Q4" s="64" t="b">
        <v>0</v>
      </c>
    </row>
    <row r="5" spans="1:17" ht="18" customHeight="1" x14ac:dyDescent="0.25">
      <c r="B5" s="8"/>
      <c r="C5" s="8"/>
      <c r="D5" s="8"/>
      <c r="E5" s="8"/>
      <c r="F5" s="8"/>
      <c r="G5" s="8"/>
      <c r="H5" s="8"/>
      <c r="I5" s="8"/>
      <c r="K5" s="149"/>
      <c r="M5" s="178" t="s">
        <v>129</v>
      </c>
      <c r="N5" s="178"/>
      <c r="O5" s="178"/>
      <c r="P5" s="178"/>
      <c r="Q5" s="64"/>
    </row>
    <row r="6" spans="1:17" ht="18" customHeight="1" x14ac:dyDescent="0.25">
      <c r="B6" s="8"/>
      <c r="C6" s="8"/>
      <c r="D6" s="8"/>
      <c r="E6" s="8"/>
      <c r="F6" s="8"/>
      <c r="G6" s="8"/>
      <c r="H6" s="8"/>
      <c r="I6" s="8"/>
      <c r="K6" s="149"/>
      <c r="M6" s="179" t="s">
        <v>33</v>
      </c>
      <c r="N6" s="180"/>
      <c r="O6" s="180"/>
      <c r="P6" s="181"/>
      <c r="Q6" s="64"/>
    </row>
    <row r="7" spans="1:17" ht="18" customHeight="1" x14ac:dyDescent="0.25">
      <c r="B7" s="8"/>
      <c r="C7" s="8"/>
      <c r="D7" s="8"/>
      <c r="E7" s="8"/>
      <c r="F7" s="8"/>
      <c r="G7" s="8"/>
      <c r="H7" s="8"/>
      <c r="I7" s="8"/>
      <c r="K7" s="149"/>
      <c r="M7" s="175" t="s">
        <v>131</v>
      </c>
      <c r="N7" s="175"/>
      <c r="O7" s="175"/>
      <c r="P7" s="175"/>
      <c r="Q7" s="64"/>
    </row>
    <row r="8" spans="1:17" ht="18" customHeight="1" x14ac:dyDescent="0.25">
      <c r="B8" s="8"/>
      <c r="C8" s="8"/>
      <c r="D8" s="8"/>
      <c r="E8" s="8"/>
      <c r="F8" s="8"/>
      <c r="G8" s="8"/>
      <c r="H8" s="8"/>
      <c r="I8" s="8"/>
      <c r="K8" s="149"/>
      <c r="M8" s="175"/>
      <c r="N8" s="175"/>
      <c r="O8" s="175"/>
      <c r="P8" s="175"/>
      <c r="Q8" s="64"/>
    </row>
    <row r="9" spans="1:17" ht="18" customHeight="1" x14ac:dyDescent="0.25">
      <c r="B9" s="8"/>
      <c r="C9" s="8"/>
      <c r="D9" s="8"/>
      <c r="E9" s="8"/>
      <c r="F9" s="8"/>
      <c r="G9" s="8"/>
      <c r="H9" s="8"/>
      <c r="I9" s="8"/>
      <c r="K9" s="11"/>
      <c r="M9" s="168" t="str">
        <f>IF(Q4=TRUE,"Képzési és vizsgaigazolás benyújtása","")</f>
        <v/>
      </c>
      <c r="N9" s="169"/>
      <c r="O9" s="169"/>
      <c r="P9" s="170"/>
      <c r="Q9" s="64"/>
    </row>
    <row r="10" spans="1:17" ht="18" customHeight="1" x14ac:dyDescent="0.25">
      <c r="B10" s="231" t="s">
        <v>215</v>
      </c>
      <c r="C10" s="231"/>
      <c r="D10" s="231"/>
      <c r="E10" s="231"/>
      <c r="F10" s="231"/>
      <c r="G10" s="231"/>
      <c r="H10" s="231"/>
      <c r="I10" s="231"/>
      <c r="K10" s="229"/>
      <c r="M10" s="178" t="s">
        <v>10</v>
      </c>
      <c r="N10" s="178"/>
      <c r="O10" s="178"/>
      <c r="P10" s="178"/>
      <c r="Q10" s="64"/>
    </row>
    <row r="11" spans="1:17" ht="18" customHeight="1" x14ac:dyDescent="0.25">
      <c r="B11" s="231"/>
      <c r="C11" s="231"/>
      <c r="D11" s="231"/>
      <c r="E11" s="231"/>
      <c r="F11" s="231"/>
      <c r="G11" s="231"/>
      <c r="H11" s="231"/>
      <c r="I11" s="231"/>
      <c r="K11" s="229"/>
      <c r="M11" s="175" t="s">
        <v>110</v>
      </c>
      <c r="N11" s="175"/>
      <c r="O11" s="175"/>
      <c r="P11" s="175"/>
      <c r="Q11" s="64"/>
    </row>
    <row r="12" spans="1:17" ht="8.25" customHeight="1" x14ac:dyDescent="0.25">
      <c r="K12" s="71"/>
      <c r="M12" s="196"/>
      <c r="N12" s="196"/>
      <c r="O12" s="196"/>
      <c r="P12" s="196"/>
    </row>
    <row r="13" spans="1:17" x14ac:dyDescent="0.25">
      <c r="B13" s="160" t="s">
        <v>13</v>
      </c>
      <c r="C13" s="161"/>
      <c r="D13" s="44"/>
      <c r="K13" s="1" t="s">
        <v>119</v>
      </c>
      <c r="M13" s="196" t="s">
        <v>164</v>
      </c>
      <c r="N13" s="196"/>
      <c r="O13" s="196"/>
      <c r="P13" s="196"/>
    </row>
    <row r="14" spans="1:17" s="2" customFormat="1" ht="124.5" customHeight="1" x14ac:dyDescent="0.25">
      <c r="B14" s="3" t="s">
        <v>169</v>
      </c>
      <c r="C14" s="3" t="s">
        <v>170</v>
      </c>
      <c r="D14" s="3" t="s">
        <v>84</v>
      </c>
      <c r="E14" s="37"/>
      <c r="F14" s="37"/>
      <c r="G14" s="37"/>
      <c r="K14" s="43">
        <f>SUM(D16:D17)</f>
        <v>45600</v>
      </c>
      <c r="M14" s="287" t="str">
        <f>IF(Q4=TRUE,"","A gyakorlati vizsgatárgy vizsgája a sikeres tesztvizsgát követően kezdhető meg.")</f>
        <v>A gyakorlati vizsgatárgy vizsgája a sikeres tesztvizsgát követően kezdhető meg.</v>
      </c>
      <c r="N14" s="287"/>
      <c r="O14" s="287"/>
      <c r="P14" s="287"/>
    </row>
    <row r="15" spans="1:17" s="2" customFormat="1" ht="15.75" customHeight="1" x14ac:dyDescent="0.25">
      <c r="B15" s="6" t="str">
        <f>IF(B16&lt;&gt;0,"Vizsga","")</f>
        <v>Vizsga</v>
      </c>
      <c r="C15" s="6" t="str">
        <f t="shared" ref="C15" si="0">IF(C16&lt;&gt;0,"Vizsga","")</f>
        <v>Vizsga</v>
      </c>
      <c r="D15" s="42" t="s">
        <v>85</v>
      </c>
      <c r="E15" s="36"/>
      <c r="F15" s="36"/>
      <c r="G15" s="36"/>
      <c r="K15" s="17"/>
      <c r="L15" s="17"/>
      <c r="M15" s="287" t="s">
        <v>173</v>
      </c>
      <c r="N15" s="287"/>
      <c r="O15" s="287"/>
      <c r="P15" s="287"/>
    </row>
    <row r="16" spans="1:17" s="1" customFormat="1" x14ac:dyDescent="0.25">
      <c r="B16" s="33">
        <f>IF($Q$4=TRUE,0,KEZDŐLAP!F25)</f>
        <v>10800</v>
      </c>
      <c r="C16" s="33">
        <f>IF($Q$4=TRUE,0,KEZDŐLAP!F29)</f>
        <v>28300</v>
      </c>
      <c r="D16" s="66">
        <f>KEZDŐLAP!F30</f>
        <v>6500</v>
      </c>
      <c r="E16" s="70"/>
      <c r="F16" s="70"/>
      <c r="G16" s="70"/>
      <c r="J16" s="2"/>
      <c r="K16" s="17"/>
      <c r="L16" s="17"/>
      <c r="M16" s="287"/>
      <c r="N16" s="287"/>
      <c r="O16" s="287"/>
      <c r="P16" s="287"/>
    </row>
    <row r="17" spans="2:16" x14ac:dyDescent="0.25">
      <c r="B17" s="220" t="s">
        <v>88</v>
      </c>
      <c r="C17" s="222"/>
      <c r="D17" s="33">
        <f>SUM(B16:C16)</f>
        <v>39100</v>
      </c>
      <c r="E17" s="19"/>
      <c r="K17" s="17"/>
      <c r="L17" s="17"/>
      <c r="M17" s="287"/>
      <c r="N17" s="287"/>
      <c r="O17" s="287"/>
      <c r="P17" s="287"/>
    </row>
    <row r="18" spans="2:16" x14ac:dyDescent="0.25">
      <c r="L18" s="17"/>
      <c r="M18" s="287"/>
      <c r="N18" s="287"/>
      <c r="O18" s="287"/>
      <c r="P18" s="287"/>
    </row>
    <row r="19" spans="2:16" x14ac:dyDescent="0.25">
      <c r="L19" s="17"/>
      <c r="M19" s="17"/>
      <c r="N19" s="17"/>
      <c r="O19" s="17"/>
      <c r="P19" s="17"/>
    </row>
    <row r="20" spans="2:16" x14ac:dyDescent="0.25">
      <c r="L20" s="17"/>
      <c r="M20" s="17"/>
      <c r="N20" s="17"/>
      <c r="O20" s="17"/>
      <c r="P20" s="17"/>
    </row>
    <row r="21" spans="2:16" x14ac:dyDescent="0.25">
      <c r="L21" s="17"/>
      <c r="M21" s="17"/>
      <c r="N21" s="17"/>
      <c r="O21" s="17"/>
      <c r="P21" s="17"/>
    </row>
    <row r="22" spans="2:16" x14ac:dyDescent="0.25">
      <c r="L22" s="17"/>
      <c r="M22" s="17"/>
      <c r="N22" s="17"/>
      <c r="O22" s="17"/>
      <c r="P22" s="17"/>
    </row>
  </sheetData>
  <sheetProtection sheet="1" selectLockedCells="1"/>
  <protectedRanges>
    <protectedRange password="EFFA" sqref="L3:P4 E14:G16 B1:P1 J2:Q2 A12:A16 I15:J16 D13:I13 B11:C16 M7 M10:P12 L5:L12 D11:J12 M13:O13 K14 N7:P9 B3:J10 Q3:Q11" name="Tartomány1"/>
    <protectedRange password="EFFA" sqref="K10:K12 K3:K9" name="Tartomány1_2"/>
    <protectedRange password="EFFA" sqref="M5:P6" name="Tartomány1_1"/>
    <protectedRange password="EFFA" sqref="A1" name="Tartomány1_3"/>
    <protectedRange password="EFFA" sqref="D14:D16" name="Tartomány1_5"/>
    <protectedRange password="EFFA" sqref="K13" name="Tartomány1_6"/>
    <protectedRange password="EFFA" sqref="K16:N16 K15:L15" name="Tartomány1_2_1"/>
    <protectedRange password="EFFA" sqref="B2:I2" name="Tartomány1_7"/>
    <protectedRange password="EFFA" sqref="M14:N15" name="Tartomány1_2_1_1"/>
  </protectedRanges>
  <mergeCells count="20">
    <mergeCell ref="M15:P18"/>
    <mergeCell ref="B17:C17"/>
    <mergeCell ref="M6:P6"/>
    <mergeCell ref="M9:P9"/>
    <mergeCell ref="M10:P10"/>
    <mergeCell ref="M11:P11"/>
    <mergeCell ref="M12:P12"/>
    <mergeCell ref="B13:C13"/>
    <mergeCell ref="M13:P13"/>
    <mergeCell ref="M14:P14"/>
    <mergeCell ref="K10:K11"/>
    <mergeCell ref="B10:I11"/>
    <mergeCell ref="B1:I1"/>
    <mergeCell ref="M1:P1"/>
    <mergeCell ref="B2:I2"/>
    <mergeCell ref="K3:K8"/>
    <mergeCell ref="M3:P3"/>
    <mergeCell ref="M4:P4"/>
    <mergeCell ref="M5:P5"/>
    <mergeCell ref="M7:P8"/>
  </mergeCells>
  <conditionalFormatting sqref="B15:G15">
    <cfRule type="containsText" dxfId="35" priority="1" operator="containsText" text="Vizsga">
      <formula>NOT(ISERROR(SEARCH("Vizsga",B15)))</formula>
    </cfRule>
    <cfRule type="containsText" dxfId="34" priority="2" operator="containsText" text="&quot;Vizsga&quot;">
      <formula>NOT(ISERROR(SEARCH("""Vizsga""",B15)))</formula>
    </cfRule>
  </conditionalFormatting>
  <hyperlinks>
    <hyperlink ref="A1" location="KEZDŐLAP!A1" display="X" xr:uid="{88F36271-DB68-40FB-9C56-A5EE7D8F5797}"/>
  </hyperlinks>
  <pageMargins left="0.7" right="0.7" top="0.75" bottom="0.75" header="0.3" footer="0.3"/>
  <pageSetup paperSize="9"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2097" r:id="rId4" name="Check Box 1">
              <controlPr defaultSize="0" autoFill="0" autoLine="0" autoPict="0">
                <anchor moveWithCells="1">
                  <from>
                    <xdr:col>1</xdr:col>
                    <xdr:colOff>304800</xdr:colOff>
                    <xdr:row>2</xdr:row>
                    <xdr:rowOff>190500</xdr:rowOff>
                  </from>
                  <to>
                    <xdr:col>8</xdr:col>
                    <xdr:colOff>400050</xdr:colOff>
                    <xdr:row>5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Munka19"/>
  <dimension ref="A1:N36"/>
  <sheetViews>
    <sheetView workbookViewId="0"/>
  </sheetViews>
  <sheetFormatPr defaultColWidth="9.140625" defaultRowHeight="15" x14ac:dyDescent="0.25"/>
  <cols>
    <col min="1" max="1" width="5.140625" style="14" customWidth="1"/>
    <col min="2" max="2" width="61.85546875" style="14" customWidth="1"/>
    <col min="3" max="6" width="9.140625" style="2"/>
    <col min="7" max="7" width="9.140625" style="2" customWidth="1"/>
    <col min="8" max="13" width="9.140625" style="2"/>
    <col min="14" max="14" width="0" style="27" hidden="1" customWidth="1"/>
    <col min="15" max="16384" width="9.140625" style="2"/>
  </cols>
  <sheetData>
    <row r="1" spans="1:8" ht="30" customHeight="1" x14ac:dyDescent="0.25">
      <c r="A1" s="29" t="s">
        <v>43</v>
      </c>
      <c r="B1" s="310" t="s">
        <v>63</v>
      </c>
      <c r="C1" s="310"/>
      <c r="D1" s="310"/>
      <c r="E1" s="310"/>
      <c r="F1" s="310"/>
      <c r="G1" s="310"/>
    </row>
    <row r="2" spans="1:8" ht="16.5" customHeight="1" x14ac:dyDescent="0.25">
      <c r="B2" s="14">
        <f t="shared" ref="B2:B24" si="0">$H$2</f>
        <v>3</v>
      </c>
      <c r="C2" s="171" t="s">
        <v>64</v>
      </c>
      <c r="D2" s="171"/>
      <c r="E2" s="171"/>
      <c r="F2" s="171"/>
      <c r="H2" s="23">
        <v>3</v>
      </c>
    </row>
    <row r="3" spans="1:8" x14ac:dyDescent="0.25">
      <c r="B3" s="14">
        <f t="shared" si="0"/>
        <v>3</v>
      </c>
      <c r="C3" s="171"/>
      <c r="D3" s="171"/>
      <c r="E3" s="171"/>
      <c r="F3" s="171"/>
    </row>
    <row r="4" spans="1:8" x14ac:dyDescent="0.25">
      <c r="B4" s="14">
        <f t="shared" si="0"/>
        <v>3</v>
      </c>
      <c r="C4" s="171"/>
      <c r="D4" s="171"/>
      <c r="E4" s="171"/>
      <c r="F4" s="171"/>
    </row>
    <row r="5" spans="1:8" x14ac:dyDescent="0.25">
      <c r="B5" s="14">
        <f t="shared" si="0"/>
        <v>3</v>
      </c>
      <c r="C5" s="171"/>
      <c r="D5" s="171"/>
      <c r="E5" s="171"/>
      <c r="F5" s="171"/>
    </row>
    <row r="6" spans="1:8" x14ac:dyDescent="0.25">
      <c r="B6" s="14">
        <f t="shared" si="0"/>
        <v>3</v>
      </c>
      <c r="C6" s="171"/>
      <c r="D6" s="171"/>
      <c r="E6" s="171"/>
      <c r="F6" s="171"/>
    </row>
    <row r="7" spans="1:8" x14ac:dyDescent="0.25">
      <c r="B7" s="14">
        <f t="shared" si="0"/>
        <v>3</v>
      </c>
      <c r="C7" s="171"/>
      <c r="D7" s="171"/>
      <c r="E7" s="171"/>
      <c r="F7" s="171"/>
    </row>
    <row r="8" spans="1:8" x14ac:dyDescent="0.25">
      <c r="B8" s="14">
        <f t="shared" si="0"/>
        <v>3</v>
      </c>
    </row>
    <row r="9" spans="1:8" x14ac:dyDescent="0.25">
      <c r="B9" s="14">
        <f t="shared" si="0"/>
        <v>3</v>
      </c>
    </row>
    <row r="10" spans="1:8" ht="15.75" customHeight="1" x14ac:dyDescent="0.25">
      <c r="B10" s="14">
        <f t="shared" si="0"/>
        <v>3</v>
      </c>
      <c r="C10" s="17"/>
      <c r="D10" s="17"/>
      <c r="E10" s="17"/>
      <c r="F10" s="17"/>
    </row>
    <row r="11" spans="1:8" x14ac:dyDescent="0.25">
      <c r="B11" s="14">
        <f t="shared" si="0"/>
        <v>3</v>
      </c>
      <c r="C11" s="17"/>
      <c r="D11" s="17"/>
      <c r="E11" s="17"/>
      <c r="F11" s="17"/>
    </row>
    <row r="12" spans="1:8" x14ac:dyDescent="0.25">
      <c r="B12" s="14">
        <f t="shared" si="0"/>
        <v>3</v>
      </c>
      <c r="C12" s="17"/>
      <c r="D12" s="17"/>
      <c r="E12" s="17"/>
      <c r="F12" s="17"/>
    </row>
    <row r="13" spans="1:8" x14ac:dyDescent="0.25">
      <c r="B13" s="14">
        <f t="shared" si="0"/>
        <v>3</v>
      </c>
      <c r="C13" s="17"/>
      <c r="D13" s="17"/>
      <c r="E13" s="17"/>
      <c r="F13" s="17"/>
    </row>
    <row r="14" spans="1:8" x14ac:dyDescent="0.25">
      <c r="B14" s="14">
        <f t="shared" si="0"/>
        <v>3</v>
      </c>
      <c r="C14" s="17"/>
      <c r="D14" s="17"/>
      <c r="E14" s="17"/>
      <c r="F14" s="17"/>
    </row>
    <row r="15" spans="1:8" ht="18.75" customHeight="1" x14ac:dyDescent="0.25">
      <c r="B15" s="14">
        <f t="shared" si="0"/>
        <v>3</v>
      </c>
      <c r="C15" s="17"/>
      <c r="D15" s="17"/>
      <c r="E15" s="17"/>
      <c r="F15" s="17"/>
    </row>
    <row r="16" spans="1:8" x14ac:dyDescent="0.25">
      <c r="B16" s="14">
        <f t="shared" si="0"/>
        <v>3</v>
      </c>
    </row>
    <row r="17" spans="2:2" x14ac:dyDescent="0.25">
      <c r="B17" s="14">
        <f t="shared" si="0"/>
        <v>3</v>
      </c>
    </row>
    <row r="18" spans="2:2" x14ac:dyDescent="0.25">
      <c r="B18" s="14">
        <f t="shared" si="0"/>
        <v>3</v>
      </c>
    </row>
    <row r="19" spans="2:2" x14ac:dyDescent="0.25">
      <c r="B19" s="14">
        <f t="shared" si="0"/>
        <v>3</v>
      </c>
    </row>
    <row r="20" spans="2:2" x14ac:dyDescent="0.25">
      <c r="B20" s="14">
        <f t="shared" si="0"/>
        <v>3</v>
      </c>
    </row>
    <row r="21" spans="2:2" x14ac:dyDescent="0.25">
      <c r="B21" s="14">
        <f t="shared" si="0"/>
        <v>3</v>
      </c>
    </row>
    <row r="22" spans="2:2" x14ac:dyDescent="0.25">
      <c r="B22" s="14">
        <f t="shared" si="0"/>
        <v>3</v>
      </c>
    </row>
    <row r="23" spans="2:2" x14ac:dyDescent="0.25">
      <c r="B23" s="14">
        <f t="shared" si="0"/>
        <v>3</v>
      </c>
    </row>
    <row r="24" spans="2:2" x14ac:dyDescent="0.25">
      <c r="B24" s="14">
        <f t="shared" si="0"/>
        <v>3</v>
      </c>
    </row>
    <row r="26" spans="2:2" x14ac:dyDescent="0.25">
      <c r="B26" s="22" t="s">
        <v>62</v>
      </c>
    </row>
    <row r="27" spans="2:2" ht="18.75" customHeight="1" x14ac:dyDescent="0.25"/>
    <row r="28" spans="2:2" ht="16.5" customHeight="1" x14ac:dyDescent="0.25">
      <c r="B28" s="14">
        <f t="shared" ref="B28:B33" si="1">$H$2</f>
        <v>3</v>
      </c>
    </row>
    <row r="29" spans="2:2" ht="16.5" customHeight="1" x14ac:dyDescent="0.25">
      <c r="B29" s="14">
        <f t="shared" si="1"/>
        <v>3</v>
      </c>
    </row>
    <row r="30" spans="2:2" ht="16.5" customHeight="1" x14ac:dyDescent="0.25">
      <c r="B30" s="14">
        <f t="shared" si="1"/>
        <v>3</v>
      </c>
    </row>
    <row r="31" spans="2:2" ht="16.5" customHeight="1" x14ac:dyDescent="0.25">
      <c r="B31" s="14">
        <f t="shared" si="1"/>
        <v>3</v>
      </c>
    </row>
    <row r="32" spans="2:2" ht="16.5" customHeight="1" x14ac:dyDescent="0.25">
      <c r="B32" s="14">
        <f t="shared" si="1"/>
        <v>3</v>
      </c>
    </row>
    <row r="33" spans="2:2" x14ac:dyDescent="0.25">
      <c r="B33" s="14">
        <f t="shared" si="1"/>
        <v>3</v>
      </c>
    </row>
    <row r="36" spans="2:2" x14ac:dyDescent="0.25">
      <c r="B36" s="21"/>
    </row>
  </sheetData>
  <sheetProtection sheet="1" objects="1" scenarios="1" selectLockedCells="1"/>
  <mergeCells count="2">
    <mergeCell ref="B1:G1"/>
    <mergeCell ref="C2:F7"/>
  </mergeCells>
  <conditionalFormatting sqref="B2">
    <cfRule type="cellIs" dxfId="33" priority="33" operator="equal">
      <formula>1</formula>
    </cfRule>
  </conditionalFormatting>
  <conditionalFormatting sqref="B3">
    <cfRule type="cellIs" dxfId="32" priority="34" operator="between">
      <formula>1</formula>
      <formula>2</formula>
    </cfRule>
  </conditionalFormatting>
  <conditionalFormatting sqref="B4">
    <cfRule type="cellIs" dxfId="31" priority="35" operator="between">
      <formula>1</formula>
      <formula>3</formula>
    </cfRule>
  </conditionalFormatting>
  <conditionalFormatting sqref="B5">
    <cfRule type="cellIs" dxfId="30" priority="36" operator="between">
      <formula>1</formula>
      <formula>4</formula>
    </cfRule>
  </conditionalFormatting>
  <conditionalFormatting sqref="B6">
    <cfRule type="cellIs" dxfId="29" priority="37" operator="equal">
      <formula>5</formula>
    </cfRule>
  </conditionalFormatting>
  <conditionalFormatting sqref="B6:B7">
    <cfRule type="cellIs" dxfId="28" priority="38" operator="between">
      <formula>1</formula>
      <formula>3</formula>
    </cfRule>
  </conditionalFormatting>
  <conditionalFormatting sqref="B7">
    <cfRule type="cellIs" dxfId="27" priority="41" operator="between">
      <formula>5</formula>
      <formula>6</formula>
    </cfRule>
  </conditionalFormatting>
  <conditionalFormatting sqref="B8">
    <cfRule type="cellIs" dxfId="26" priority="46" operator="between">
      <formula>1</formula>
      <formula>7</formula>
    </cfRule>
  </conditionalFormatting>
  <conditionalFormatting sqref="B9">
    <cfRule type="cellIs" dxfId="25" priority="47" operator="between">
      <formula>1</formula>
      <formula>8</formula>
    </cfRule>
  </conditionalFormatting>
  <conditionalFormatting sqref="B10:B15">
    <cfRule type="cellIs" dxfId="24" priority="48" operator="between">
      <formula>1</formula>
      <formula>3</formula>
    </cfRule>
  </conditionalFormatting>
  <conditionalFormatting sqref="B11">
    <cfRule type="cellIs" dxfId="23" priority="32" operator="equal">
      <formula>10</formula>
    </cfRule>
  </conditionalFormatting>
  <conditionalFormatting sqref="B12">
    <cfRule type="cellIs" dxfId="22" priority="31" operator="equal">
      <formula>11</formula>
    </cfRule>
  </conditionalFormatting>
  <conditionalFormatting sqref="B13">
    <cfRule type="cellIs" dxfId="21" priority="30" operator="equal">
      <formula>12</formula>
    </cfRule>
  </conditionalFormatting>
  <conditionalFormatting sqref="B14">
    <cfRule type="cellIs" dxfId="20" priority="29" operator="equal">
      <formula>13</formula>
    </cfRule>
  </conditionalFormatting>
  <conditionalFormatting sqref="B15">
    <cfRule type="cellIs" dxfId="19" priority="28" operator="equal">
      <formula>14</formula>
    </cfRule>
  </conditionalFormatting>
  <conditionalFormatting sqref="B16">
    <cfRule type="cellIs" dxfId="18" priority="26" operator="between">
      <formula>9</formula>
      <formula>15</formula>
    </cfRule>
  </conditionalFormatting>
  <conditionalFormatting sqref="B16:B22">
    <cfRule type="cellIs" dxfId="17" priority="15" operator="between">
      <formula>1</formula>
      <formula>7</formula>
    </cfRule>
  </conditionalFormatting>
  <conditionalFormatting sqref="B17">
    <cfRule type="cellIs" dxfId="16" priority="23" operator="equal">
      <formula>16</formula>
    </cfRule>
  </conditionalFormatting>
  <conditionalFormatting sqref="B17:B18">
    <cfRule type="cellIs" dxfId="15" priority="24" operator="between">
      <formula>9</formula>
      <formula>16</formula>
    </cfRule>
  </conditionalFormatting>
  <conditionalFormatting sqref="B18">
    <cfRule type="cellIs" dxfId="14" priority="22" operator="equal">
      <formula>17</formula>
    </cfRule>
  </conditionalFormatting>
  <conditionalFormatting sqref="B18:B21">
    <cfRule type="cellIs" dxfId="13" priority="8" operator="between">
      <formula>22</formula>
      <formula>23</formula>
    </cfRule>
  </conditionalFormatting>
  <conditionalFormatting sqref="B19">
    <cfRule type="cellIs" dxfId="12" priority="20" operator="between">
      <formula>9</formula>
      <formula>18</formula>
    </cfRule>
  </conditionalFormatting>
  <conditionalFormatting sqref="B20">
    <cfRule type="cellIs" dxfId="11" priority="18" operator="between">
      <formula>9</formula>
      <formula>19</formula>
    </cfRule>
  </conditionalFormatting>
  <conditionalFormatting sqref="B21">
    <cfRule type="cellIs" dxfId="10" priority="16" operator="between">
      <formula>9</formula>
      <formula>20</formula>
    </cfRule>
  </conditionalFormatting>
  <conditionalFormatting sqref="B22">
    <cfRule type="cellIs" dxfId="9" priority="14" operator="between">
      <formula>9</formula>
      <formula>21</formula>
    </cfRule>
    <cfRule type="cellIs" dxfId="8" priority="7" operator="between">
      <formula>22</formula>
      <formula>23</formula>
    </cfRule>
  </conditionalFormatting>
  <conditionalFormatting sqref="B23">
    <cfRule type="cellIs" dxfId="7" priority="12" operator="equal">
      <formula>22</formula>
    </cfRule>
  </conditionalFormatting>
  <conditionalFormatting sqref="B24">
    <cfRule type="cellIs" dxfId="6" priority="13" operator="between">
      <formula>22</formula>
      <formula>23</formula>
    </cfRule>
  </conditionalFormatting>
  <conditionalFormatting sqref="B28">
    <cfRule type="cellIs" dxfId="5" priority="6" operator="equal">
      <formula>24</formula>
    </cfRule>
  </conditionalFormatting>
  <conditionalFormatting sqref="B29">
    <cfRule type="cellIs" dxfId="4" priority="5" operator="between">
      <formula>24</formula>
      <formula>25</formula>
    </cfRule>
  </conditionalFormatting>
  <conditionalFormatting sqref="B30">
    <cfRule type="cellIs" dxfId="3" priority="4" operator="between">
      <formula>24</formula>
      <formula>26</formula>
    </cfRule>
  </conditionalFormatting>
  <conditionalFormatting sqref="B31">
    <cfRule type="cellIs" dxfId="2" priority="3" operator="between">
      <formula>24</formula>
      <formula>27</formula>
    </cfRule>
  </conditionalFormatting>
  <conditionalFormatting sqref="B32">
    <cfRule type="cellIs" dxfId="1" priority="2" operator="between">
      <formula>24</formula>
      <formula>28</formula>
    </cfRule>
  </conditionalFormatting>
  <conditionalFormatting sqref="B33">
    <cfRule type="cellIs" dxfId="0" priority="1" operator="between">
      <formula>24</formula>
      <formula>29</formula>
    </cfRule>
  </conditionalFormatting>
  <hyperlinks>
    <hyperlink ref="A1" location="KEZDŐLAP!A1" display="X" xr:uid="{00000000-0004-0000-1500-000000000000}"/>
  </hyperlink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745" r:id="rId3" name="Option Button 1">
              <controlPr defaultSize="0" autoFill="0" autoLine="0" autoPict="0">
                <anchor moveWithCells="1">
                  <from>
                    <xdr:col>1</xdr:col>
                    <xdr:colOff>9525</xdr:colOff>
                    <xdr:row>0</xdr:row>
                    <xdr:rowOff>371475</xdr:rowOff>
                  </from>
                  <to>
                    <xdr:col>1</xdr:col>
                    <xdr:colOff>1600200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9" r:id="rId4" name="Option Button 55">
              <controlPr defaultSize="0" autoFill="0" autoLine="0" autoPict="0">
                <anchor moveWithCells="1">
                  <from>
                    <xdr:col>1</xdr:col>
                    <xdr:colOff>9525</xdr:colOff>
                    <xdr:row>1</xdr:row>
                    <xdr:rowOff>180975</xdr:rowOff>
                  </from>
                  <to>
                    <xdr:col>1</xdr:col>
                    <xdr:colOff>1600200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0" r:id="rId5" name="Option Button 56">
              <controlPr defaultSize="0" autoFill="0" autoLine="0" autoPict="0">
                <anchor moveWithCells="1">
                  <from>
                    <xdr:col>1</xdr:col>
                    <xdr:colOff>9525</xdr:colOff>
                    <xdr:row>2</xdr:row>
                    <xdr:rowOff>180975</xdr:rowOff>
                  </from>
                  <to>
                    <xdr:col>1</xdr:col>
                    <xdr:colOff>1600200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1" r:id="rId6" name="Option Button 57">
              <controlPr defaultSize="0" autoFill="0" autoLine="0" autoPict="0">
                <anchor moveWithCells="1">
                  <from>
                    <xdr:col>1</xdr:col>
                    <xdr:colOff>9525</xdr:colOff>
                    <xdr:row>3</xdr:row>
                    <xdr:rowOff>180975</xdr:rowOff>
                  </from>
                  <to>
                    <xdr:col>1</xdr:col>
                    <xdr:colOff>1600200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2" r:id="rId7" name="Option Button 58">
              <controlPr defaultSize="0" autoFill="0" autoLine="0" autoPict="0">
                <anchor moveWithCells="1">
                  <from>
                    <xdr:col>1</xdr:col>
                    <xdr:colOff>9525</xdr:colOff>
                    <xdr:row>4</xdr:row>
                    <xdr:rowOff>180975</xdr:rowOff>
                  </from>
                  <to>
                    <xdr:col>1</xdr:col>
                    <xdr:colOff>2533650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3" r:id="rId8" name="Option Button 59">
              <controlPr defaultSize="0" autoFill="0" autoLine="0" autoPict="0">
                <anchor moveWithCells="1">
                  <from>
                    <xdr:col>1</xdr:col>
                    <xdr:colOff>9525</xdr:colOff>
                    <xdr:row>5</xdr:row>
                    <xdr:rowOff>180975</xdr:rowOff>
                  </from>
                  <to>
                    <xdr:col>1</xdr:col>
                    <xdr:colOff>1600200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4" r:id="rId9" name="Option Button 60">
              <controlPr defaultSize="0" autoFill="0" autoLine="0" autoPict="0">
                <anchor moveWithCells="1">
                  <from>
                    <xdr:col>1</xdr:col>
                    <xdr:colOff>9525</xdr:colOff>
                    <xdr:row>6</xdr:row>
                    <xdr:rowOff>180975</xdr:rowOff>
                  </from>
                  <to>
                    <xdr:col>1</xdr:col>
                    <xdr:colOff>2724150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5" r:id="rId10" name="Option Button 61">
              <controlPr defaultSize="0" autoFill="0" autoLine="0" autoPict="0">
                <anchor moveWithCells="1">
                  <from>
                    <xdr:col>1</xdr:col>
                    <xdr:colOff>9525</xdr:colOff>
                    <xdr:row>7</xdr:row>
                    <xdr:rowOff>180975</xdr:rowOff>
                  </from>
                  <to>
                    <xdr:col>1</xdr:col>
                    <xdr:colOff>2657475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6" r:id="rId11" name="Option Button 62">
              <controlPr defaultSize="0" autoFill="0" autoLine="0" autoPict="0">
                <anchor moveWithCells="1">
                  <from>
                    <xdr:col>1</xdr:col>
                    <xdr:colOff>9525</xdr:colOff>
                    <xdr:row>8</xdr:row>
                    <xdr:rowOff>180975</xdr:rowOff>
                  </from>
                  <to>
                    <xdr:col>1</xdr:col>
                    <xdr:colOff>1600200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7" r:id="rId12" name="Option Button 63">
              <controlPr defaultSize="0" autoFill="0" autoLine="0" autoPict="0">
                <anchor moveWithCells="1">
                  <from>
                    <xdr:col>1</xdr:col>
                    <xdr:colOff>9525</xdr:colOff>
                    <xdr:row>9</xdr:row>
                    <xdr:rowOff>180975</xdr:rowOff>
                  </from>
                  <to>
                    <xdr:col>1</xdr:col>
                    <xdr:colOff>1600200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8" r:id="rId13" name="Option Button 64">
              <controlPr defaultSize="0" autoFill="0" autoLine="0" autoPict="0">
                <anchor moveWithCells="1">
                  <from>
                    <xdr:col>1</xdr:col>
                    <xdr:colOff>9525</xdr:colOff>
                    <xdr:row>10</xdr:row>
                    <xdr:rowOff>180975</xdr:rowOff>
                  </from>
                  <to>
                    <xdr:col>1</xdr:col>
                    <xdr:colOff>1600200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9" r:id="rId14" name="Option Button 65">
              <controlPr defaultSize="0" autoFill="0" autoLine="0" autoPict="0">
                <anchor moveWithCells="1">
                  <from>
                    <xdr:col>1</xdr:col>
                    <xdr:colOff>9525</xdr:colOff>
                    <xdr:row>12</xdr:row>
                    <xdr:rowOff>0</xdr:rowOff>
                  </from>
                  <to>
                    <xdr:col>1</xdr:col>
                    <xdr:colOff>1600200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0" r:id="rId15" name="Option Button 66">
              <controlPr defaultSize="0" autoFill="0" autoLine="0" autoPict="0">
                <anchor moveWithCells="1">
                  <from>
                    <xdr:col>1</xdr:col>
                    <xdr:colOff>9525</xdr:colOff>
                    <xdr:row>13</xdr:row>
                    <xdr:rowOff>0</xdr:rowOff>
                  </from>
                  <to>
                    <xdr:col>1</xdr:col>
                    <xdr:colOff>1600200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1" r:id="rId16" name="Option Button 67">
              <controlPr defaultSize="0" autoFill="0" autoLine="0" autoPict="0">
                <anchor moveWithCells="1">
                  <from>
                    <xdr:col>1</xdr:col>
                    <xdr:colOff>9525</xdr:colOff>
                    <xdr:row>14</xdr:row>
                    <xdr:rowOff>19050</xdr:rowOff>
                  </from>
                  <to>
                    <xdr:col>1</xdr:col>
                    <xdr:colOff>3448050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7" r:id="rId17" name="Option Button 103">
              <controlPr defaultSize="0" autoFill="0" autoLine="0" autoPict="0">
                <anchor moveWithCells="1">
                  <from>
                    <xdr:col>1</xdr:col>
                    <xdr:colOff>9525</xdr:colOff>
                    <xdr:row>14</xdr:row>
                    <xdr:rowOff>228600</xdr:rowOff>
                  </from>
                  <to>
                    <xdr:col>1</xdr:col>
                    <xdr:colOff>3448050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8" r:id="rId18" name="Option Button 104">
              <controlPr defaultSize="0" autoFill="0" autoLine="0" autoPict="0">
                <anchor moveWithCells="1">
                  <from>
                    <xdr:col>1</xdr:col>
                    <xdr:colOff>9525</xdr:colOff>
                    <xdr:row>16</xdr:row>
                    <xdr:rowOff>0</xdr:rowOff>
                  </from>
                  <to>
                    <xdr:col>1</xdr:col>
                    <xdr:colOff>3448050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9" r:id="rId19" name="Option Button 105">
              <controlPr defaultSize="0" autoFill="0" autoLine="0" autoPict="0">
                <anchor moveWithCells="1">
                  <from>
                    <xdr:col>1</xdr:col>
                    <xdr:colOff>9525</xdr:colOff>
                    <xdr:row>17</xdr:row>
                    <xdr:rowOff>0</xdr:rowOff>
                  </from>
                  <to>
                    <xdr:col>1</xdr:col>
                    <xdr:colOff>3448050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0" r:id="rId20" name="Option Button 106">
              <controlPr defaultSize="0" autoFill="0" autoLine="0" autoPict="0">
                <anchor moveWithCells="1">
                  <from>
                    <xdr:col>1</xdr:col>
                    <xdr:colOff>9525</xdr:colOff>
                    <xdr:row>18</xdr:row>
                    <xdr:rowOff>0</xdr:rowOff>
                  </from>
                  <to>
                    <xdr:col>1</xdr:col>
                    <xdr:colOff>3448050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1" r:id="rId21" name="Option Button 107">
              <controlPr defaultSize="0" autoFill="0" autoLine="0" autoPict="0">
                <anchor moveWithCells="1">
                  <from>
                    <xdr:col>1</xdr:col>
                    <xdr:colOff>9525</xdr:colOff>
                    <xdr:row>19</xdr:row>
                    <xdr:rowOff>9525</xdr:rowOff>
                  </from>
                  <to>
                    <xdr:col>1</xdr:col>
                    <xdr:colOff>3448050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2" r:id="rId22" name="Option Button 108">
              <controlPr defaultSize="0" autoFill="0" autoLine="0" autoPict="0">
                <anchor moveWithCells="1">
                  <from>
                    <xdr:col>1</xdr:col>
                    <xdr:colOff>9525</xdr:colOff>
                    <xdr:row>20</xdr:row>
                    <xdr:rowOff>9525</xdr:rowOff>
                  </from>
                  <to>
                    <xdr:col>1</xdr:col>
                    <xdr:colOff>3448050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3" r:id="rId23" name="Option Button 109">
              <controlPr defaultSize="0" autoFill="0" autoLine="0" autoPict="0">
                <anchor moveWithCells="1">
                  <from>
                    <xdr:col>1</xdr:col>
                    <xdr:colOff>19050</xdr:colOff>
                    <xdr:row>21</xdr:row>
                    <xdr:rowOff>9525</xdr:rowOff>
                  </from>
                  <to>
                    <xdr:col>1</xdr:col>
                    <xdr:colOff>3457575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4" r:id="rId24" name="Option Button 110">
              <controlPr defaultSize="0" autoFill="0" autoLine="0" autoPict="0">
                <anchor moveWithCells="1">
                  <from>
                    <xdr:col>1</xdr:col>
                    <xdr:colOff>28575</xdr:colOff>
                    <xdr:row>22</xdr:row>
                    <xdr:rowOff>9525</xdr:rowOff>
                  </from>
                  <to>
                    <xdr:col>1</xdr:col>
                    <xdr:colOff>3467100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5" r:id="rId25" name="Option Button 111">
              <controlPr defaultSize="0" autoFill="0" autoLine="0" autoPict="0">
                <anchor moveWithCells="1">
                  <from>
                    <xdr:col>1</xdr:col>
                    <xdr:colOff>28575</xdr:colOff>
                    <xdr:row>23</xdr:row>
                    <xdr:rowOff>0</xdr:rowOff>
                  </from>
                  <to>
                    <xdr:col>1</xdr:col>
                    <xdr:colOff>3467100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5" r:id="rId26" name="Option Button 121">
              <controlPr defaultSize="0" autoFill="0" autoLine="0" autoPict="0">
                <anchor moveWithCells="1">
                  <from>
                    <xdr:col>1</xdr:col>
                    <xdr:colOff>19050</xdr:colOff>
                    <xdr:row>26</xdr:row>
                    <xdr:rowOff>219075</xdr:rowOff>
                  </from>
                  <to>
                    <xdr:col>1</xdr:col>
                    <xdr:colOff>3590925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6" r:id="rId27" name="Option Button 122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200025</xdr:rowOff>
                  </from>
                  <to>
                    <xdr:col>1</xdr:col>
                    <xdr:colOff>2543175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7" r:id="rId28" name="Option Button 12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9525</xdr:rowOff>
                  </from>
                  <to>
                    <xdr:col>1</xdr:col>
                    <xdr:colOff>3048000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9" r:id="rId29" name="Option Button 125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1</xdr:col>
                    <xdr:colOff>2552700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70" r:id="rId30" name="Option Button 126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200025</xdr:rowOff>
                  </from>
                  <to>
                    <xdr:col>1</xdr:col>
                    <xdr:colOff>2381250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72" r:id="rId31" name="Option Button 128">
              <controlPr defaultSize="0" autoFill="0" autoLine="0" autoPict="0">
                <anchor moveWithCells="1">
                  <from>
                    <xdr:col>1</xdr:col>
                    <xdr:colOff>38100</xdr:colOff>
                    <xdr:row>32</xdr:row>
                    <xdr:rowOff>0</xdr:rowOff>
                  </from>
                  <to>
                    <xdr:col>1</xdr:col>
                    <xdr:colOff>2686050</xdr:colOff>
                    <xdr:row>33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369C2-23CB-4370-9EDB-9EB97E6A2D1D}">
  <sheetPr>
    <tabColor rgb="FF00B0F0"/>
  </sheetPr>
  <dimension ref="A1:Q15"/>
  <sheetViews>
    <sheetView workbookViewId="0"/>
  </sheetViews>
  <sheetFormatPr defaultRowHeight="15" x14ac:dyDescent="0.25"/>
  <cols>
    <col min="1" max="1" width="3.42578125" customWidth="1"/>
    <col min="2" max="9" width="11.140625" customWidth="1"/>
    <col min="10" max="10" width="3.140625" customWidth="1"/>
    <col min="11" max="11" width="31.7109375" customWidth="1"/>
    <col min="12" max="12" width="3.140625" customWidth="1"/>
    <col min="13" max="13" width="9" customWidth="1"/>
    <col min="17" max="17" width="2.28515625" style="95" customWidth="1"/>
  </cols>
  <sheetData>
    <row r="1" spans="1:17" ht="27.75" customHeight="1" x14ac:dyDescent="0.25">
      <c r="A1" s="26" t="s">
        <v>43</v>
      </c>
      <c r="B1" s="174" t="s">
        <v>120</v>
      </c>
      <c r="C1" s="174"/>
      <c r="D1" s="174"/>
      <c r="E1" s="174"/>
      <c r="F1" s="174"/>
      <c r="G1" s="174"/>
      <c r="H1" s="174"/>
      <c r="I1" s="174"/>
      <c r="K1" s="174" t="s">
        <v>1</v>
      </c>
      <c r="M1" s="173" t="s">
        <v>116</v>
      </c>
      <c r="N1" s="173"/>
      <c r="O1" s="173"/>
      <c r="P1" s="173"/>
    </row>
    <row r="2" spans="1:17" ht="30" customHeight="1" x14ac:dyDescent="0.25">
      <c r="A2" s="69"/>
      <c r="B2" s="172" t="s">
        <v>114</v>
      </c>
      <c r="C2" s="172"/>
      <c r="D2" s="172"/>
      <c r="E2" s="172"/>
      <c r="F2" s="172"/>
      <c r="G2" s="172"/>
      <c r="H2" s="172"/>
      <c r="I2" s="172"/>
      <c r="K2" s="174"/>
      <c r="M2" s="173"/>
      <c r="N2" s="173"/>
      <c r="O2" s="173"/>
      <c r="P2" s="173"/>
    </row>
    <row r="3" spans="1:17" ht="15" customHeight="1" x14ac:dyDescent="0.25">
      <c r="B3" s="176" t="s">
        <v>117</v>
      </c>
      <c r="C3" s="176"/>
      <c r="D3" s="176"/>
      <c r="E3" s="176"/>
      <c r="F3" s="176"/>
      <c r="G3" s="176"/>
      <c r="H3" s="176"/>
      <c r="I3" s="176"/>
      <c r="K3" s="1"/>
      <c r="M3" s="150" t="s">
        <v>118</v>
      </c>
      <c r="N3" s="150"/>
      <c r="O3" s="150"/>
      <c r="P3" s="150"/>
      <c r="Q3" s="96"/>
    </row>
    <row r="4" spans="1:17" ht="15" customHeight="1" x14ac:dyDescent="0.25">
      <c r="B4" s="8"/>
      <c r="C4" s="8"/>
      <c r="D4" s="8"/>
      <c r="E4" s="8"/>
      <c r="F4" s="8"/>
      <c r="G4" s="8"/>
      <c r="H4" s="8"/>
      <c r="I4" s="8"/>
      <c r="K4" s="149" t="str">
        <f>IF(Q4=FALSE,"","Belvízi géphajón, képesített matrózként legalább 180 nap hajózási idő megléte")</f>
        <v/>
      </c>
      <c r="M4" s="150"/>
      <c r="N4" s="150"/>
      <c r="O4" s="150"/>
      <c r="P4" s="150"/>
      <c r="Q4" s="96" t="b">
        <v>0</v>
      </c>
    </row>
    <row r="5" spans="1:17" x14ac:dyDescent="0.25">
      <c r="B5" s="8"/>
      <c r="C5" s="8"/>
      <c r="D5" s="8"/>
      <c r="E5" s="8"/>
      <c r="F5" s="8"/>
      <c r="G5" s="8"/>
      <c r="H5" s="8"/>
      <c r="I5" s="8"/>
      <c r="K5" s="149"/>
      <c r="M5" s="151" t="s">
        <v>7</v>
      </c>
      <c r="N5" s="151"/>
      <c r="O5" s="151"/>
      <c r="P5" s="151"/>
      <c r="Q5" s="96"/>
    </row>
    <row r="6" spans="1:17" x14ac:dyDescent="0.25">
      <c r="B6" s="8"/>
      <c r="C6" s="8"/>
      <c r="D6" s="8"/>
      <c r="E6" s="8"/>
      <c r="F6" s="8"/>
      <c r="G6" s="8"/>
      <c r="H6" s="8"/>
      <c r="I6" s="8"/>
      <c r="K6" s="149"/>
      <c r="M6" s="150" t="s">
        <v>8</v>
      </c>
      <c r="N6" s="150"/>
      <c r="O6" s="150"/>
      <c r="P6" s="150"/>
      <c r="Q6" s="96"/>
    </row>
    <row r="7" spans="1:17" x14ac:dyDescent="0.25">
      <c r="B7" s="8"/>
      <c r="C7" s="8"/>
      <c r="D7" s="8"/>
      <c r="E7" s="8"/>
      <c r="F7" s="8"/>
      <c r="G7" s="8"/>
      <c r="H7" s="8"/>
      <c r="I7" s="8"/>
      <c r="K7" s="149"/>
      <c r="M7" s="150"/>
      <c r="N7" s="150"/>
      <c r="O7" s="150"/>
      <c r="P7" s="150"/>
      <c r="Q7" s="96"/>
    </row>
    <row r="8" spans="1:17" ht="18.75" customHeight="1" x14ac:dyDescent="0.25">
      <c r="B8" s="8"/>
      <c r="C8" s="8"/>
      <c r="D8" s="8"/>
      <c r="E8" s="8"/>
      <c r="F8" s="8"/>
      <c r="G8" s="8"/>
      <c r="H8" s="8"/>
      <c r="I8" s="8"/>
      <c r="J8" s="9"/>
      <c r="K8" s="149"/>
      <c r="M8" s="151" t="s">
        <v>110</v>
      </c>
      <c r="N8" s="151"/>
      <c r="O8" s="151"/>
      <c r="P8" s="151"/>
      <c r="Q8" s="96"/>
    </row>
    <row r="9" spans="1:17" ht="48" customHeight="1" x14ac:dyDescent="0.25">
      <c r="B9" s="8"/>
      <c r="C9" s="8"/>
      <c r="D9" s="8"/>
      <c r="E9" s="8"/>
      <c r="F9" s="8"/>
      <c r="G9" s="8"/>
      <c r="H9" s="8"/>
      <c r="I9" s="8"/>
      <c r="K9" s="149"/>
      <c r="M9" s="168" t="str">
        <f>IF(Q4=TRUE,"","Jóváhagyott hajós képzésben tett sikeres matróz-gépkezelői vizsga letétele")</f>
        <v>Jóváhagyott hajós képzésben tett sikeres matróz-gépkezelői vizsga letétele</v>
      </c>
      <c r="N9" s="169"/>
      <c r="O9" s="169"/>
      <c r="P9" s="170"/>
      <c r="Q9" s="96"/>
    </row>
    <row r="10" spans="1:17" ht="17.25" customHeight="1" x14ac:dyDescent="0.25">
      <c r="M10" s="168"/>
      <c r="N10" s="169"/>
      <c r="O10" s="169"/>
      <c r="P10" s="170"/>
    </row>
    <row r="11" spans="1:17" ht="21.75" customHeight="1" x14ac:dyDescent="0.25">
      <c r="M11" s="175" t="s">
        <v>121</v>
      </c>
      <c r="N11" s="175"/>
      <c r="O11" s="175"/>
      <c r="P11" s="175"/>
    </row>
    <row r="12" spans="1:17" x14ac:dyDescent="0.25">
      <c r="K12" s="1" t="s">
        <v>119</v>
      </c>
    </row>
    <row r="13" spans="1:17" s="2" customFormat="1" ht="84.75" customHeight="1" x14ac:dyDescent="0.25">
      <c r="A13"/>
      <c r="B13" s="177" t="str">
        <f>IF(Q4=FALSE,"","Géptani alapismeretekkel akkor rendelkezik a jelölt, ha olyan közoktatási rendszerű képzésben vett részt (autószerelő, gépész), amely igazolhatóan géptani ismeretekhez kötött, és amely a végzettséget igazoló dokumentummal bizonyítható")</f>
        <v/>
      </c>
      <c r="C13" s="177"/>
      <c r="D13" s="177"/>
      <c r="E13" s="177"/>
      <c r="F13" s="177"/>
      <c r="G13" s="177"/>
      <c r="H13" s="177"/>
      <c r="I13" s="177"/>
      <c r="K13" s="10">
        <f>KEZDŐLAP!F32</f>
        <v>8700</v>
      </c>
      <c r="L13"/>
      <c r="M13" s="171"/>
      <c r="N13" s="171"/>
      <c r="O13" s="171"/>
      <c r="P13" s="171"/>
      <c r="Q13" s="97"/>
    </row>
    <row r="14" spans="1:17" s="2" customFormat="1" ht="15.75" customHeight="1" x14ac:dyDescent="0.25">
      <c r="A14"/>
      <c r="B14"/>
      <c r="C14"/>
      <c r="D14"/>
      <c r="E14"/>
      <c r="F14"/>
      <c r="G14"/>
      <c r="H14"/>
      <c r="I14"/>
      <c r="Q14" s="97"/>
    </row>
    <row r="15" spans="1:17" s="1" customFormat="1" x14ac:dyDescent="0.25">
      <c r="A15"/>
      <c r="B15"/>
      <c r="C15"/>
      <c r="D15"/>
      <c r="E15"/>
      <c r="F15"/>
      <c r="G15"/>
      <c r="H15"/>
      <c r="I15"/>
      <c r="L15" s="2"/>
      <c r="M15" s="2"/>
      <c r="N15" s="2"/>
      <c r="O15" s="2"/>
      <c r="Q15" s="98"/>
    </row>
  </sheetData>
  <sheetProtection sheet="1" selectLockedCells="1"/>
  <protectedRanges>
    <protectedRange password="EFFA" sqref="B4:J9 J14:P15 J12 J13:L13 L12:P12 A10:P11 B1:P2 J3:Q3 L4:L9 N4:Q9 M5:M9" name="Tartomány1"/>
    <protectedRange password="EFFA" sqref="K4:K9" name="Tartomány1_2"/>
    <protectedRange password="EFFA" sqref="M13:P13" name="Tartomány1_1_1"/>
    <protectedRange password="EFFA" sqref="A1:A2" name="Tartomány1_3"/>
    <protectedRange password="EFFA" sqref="B3:I3" name="Tartomány1_4"/>
    <protectedRange password="EFFA" sqref="K12" name="Tartomány1_1"/>
  </protectedRanges>
  <mergeCells count="15">
    <mergeCell ref="M10:P10"/>
    <mergeCell ref="M11:P11"/>
    <mergeCell ref="M13:P13"/>
    <mergeCell ref="B13:I13"/>
    <mergeCell ref="B1:I1"/>
    <mergeCell ref="K1:K2"/>
    <mergeCell ref="M1:P2"/>
    <mergeCell ref="B2:I2"/>
    <mergeCell ref="B3:I3"/>
    <mergeCell ref="M3:P4"/>
    <mergeCell ref="K4:K9"/>
    <mergeCell ref="M5:P5"/>
    <mergeCell ref="M6:P7"/>
    <mergeCell ref="M8:P8"/>
    <mergeCell ref="M9:P9"/>
  </mergeCells>
  <hyperlinks>
    <hyperlink ref="A1" location="KEZDŐLAP!A1" display="X" xr:uid="{6AFD2B7C-4ECE-4C5E-8CEF-408F54BF2CAA}"/>
  </hyperlinks>
  <pageMargins left="0.7" right="0.7" top="0.75" bottom="0.75" header="0.3" footer="0.3"/>
  <pageSetup paperSize="9"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9089" r:id="rId4" name="Check Box 1">
              <controlPr defaultSize="0" autoFill="0" autoLine="0" autoPict="0">
                <anchor moveWithCells="1">
                  <from>
                    <xdr:col>1</xdr:col>
                    <xdr:colOff>438150</xdr:colOff>
                    <xdr:row>3</xdr:row>
                    <xdr:rowOff>152400</xdr:rowOff>
                  </from>
                  <to>
                    <xdr:col>8</xdr:col>
                    <xdr:colOff>466725</xdr:colOff>
                    <xdr:row>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486AC-E94D-441C-8390-8E3E0A909832}">
  <sheetPr>
    <tabColor rgb="FF00B0F0"/>
  </sheetPr>
  <dimension ref="A1:Q15"/>
  <sheetViews>
    <sheetView workbookViewId="0"/>
  </sheetViews>
  <sheetFormatPr defaultRowHeight="15" x14ac:dyDescent="0.25"/>
  <cols>
    <col min="1" max="1" width="3.42578125" customWidth="1"/>
    <col min="2" max="9" width="11.140625" customWidth="1"/>
    <col min="10" max="10" width="3.140625" customWidth="1"/>
    <col min="11" max="11" width="31.7109375" customWidth="1"/>
    <col min="12" max="12" width="3.140625" customWidth="1"/>
    <col min="13" max="13" width="9" customWidth="1"/>
    <col min="17" max="17" width="1.5703125" customWidth="1"/>
  </cols>
  <sheetData>
    <row r="1" spans="1:17" ht="27.75" customHeight="1" x14ac:dyDescent="0.25">
      <c r="A1" s="26" t="s">
        <v>43</v>
      </c>
      <c r="B1" s="174" t="s">
        <v>122</v>
      </c>
      <c r="C1" s="174"/>
      <c r="D1" s="174"/>
      <c r="E1" s="174"/>
      <c r="F1" s="174"/>
      <c r="G1" s="174"/>
      <c r="H1" s="174"/>
      <c r="I1" s="174"/>
      <c r="K1" s="174" t="s">
        <v>1</v>
      </c>
      <c r="M1" s="173" t="s">
        <v>265</v>
      </c>
      <c r="N1" s="173"/>
      <c r="O1" s="173"/>
      <c r="P1" s="173"/>
    </row>
    <row r="2" spans="1:17" ht="30" customHeight="1" x14ac:dyDescent="0.25">
      <c r="A2" s="69"/>
      <c r="B2" s="172" t="s">
        <v>114</v>
      </c>
      <c r="C2" s="172"/>
      <c r="D2" s="172"/>
      <c r="E2" s="172"/>
      <c r="F2" s="172"/>
      <c r="G2" s="172"/>
      <c r="H2" s="172"/>
      <c r="I2" s="172"/>
      <c r="K2" s="174"/>
      <c r="M2" s="173"/>
      <c r="N2" s="173"/>
      <c r="O2" s="173"/>
      <c r="P2" s="173"/>
    </row>
    <row r="3" spans="1:17" ht="15" customHeight="1" x14ac:dyDescent="0.25">
      <c r="B3" s="176" t="s">
        <v>117</v>
      </c>
      <c r="C3" s="176"/>
      <c r="D3" s="176"/>
      <c r="E3" s="176"/>
      <c r="F3" s="176"/>
      <c r="G3" s="176"/>
      <c r="H3" s="176"/>
      <c r="I3" s="176"/>
      <c r="K3" s="1"/>
      <c r="M3" s="175" t="s">
        <v>266</v>
      </c>
      <c r="N3" s="175"/>
      <c r="O3" s="175"/>
      <c r="P3" s="175"/>
      <c r="Q3" s="24"/>
    </row>
    <row r="4" spans="1:17" ht="15" customHeight="1" x14ac:dyDescent="0.25">
      <c r="B4" s="8"/>
      <c r="C4" s="8"/>
      <c r="D4" s="8"/>
      <c r="E4" s="8"/>
      <c r="F4" s="8"/>
      <c r="G4" s="8"/>
      <c r="H4" s="8"/>
      <c r="I4" s="8"/>
      <c r="K4" s="149" t="str">
        <f>IF(Q4=FALSE,"A fedélzeti szolgálat tagjaként 360 nap hajózási idő, amelyből 180 nap matróz szolgálatban teljesített","Belvízi vízi úton eltöltött legalább 180 nap hajózási idő, képesített matrózként")</f>
        <v>A fedélzeti szolgálat tagjaként 360 nap hajózási idő, amelyből 180 nap matróz szolgálatban teljesített</v>
      </c>
      <c r="M4" s="175"/>
      <c r="N4" s="175"/>
      <c r="O4" s="175"/>
      <c r="P4" s="175"/>
      <c r="Q4" s="64" t="b">
        <v>0</v>
      </c>
    </row>
    <row r="5" spans="1:17" x14ac:dyDescent="0.25">
      <c r="B5" s="8"/>
      <c r="C5" s="8"/>
      <c r="D5" s="8"/>
      <c r="E5" s="8"/>
      <c r="F5" s="8"/>
      <c r="G5" s="8"/>
      <c r="H5" s="8"/>
      <c r="I5" s="8"/>
      <c r="K5" s="149"/>
      <c r="M5" s="151" t="s">
        <v>7</v>
      </c>
      <c r="N5" s="151"/>
      <c r="O5" s="151"/>
      <c r="P5" s="151"/>
      <c r="Q5" s="64"/>
    </row>
    <row r="6" spans="1:17" x14ac:dyDescent="0.25">
      <c r="B6" s="8"/>
      <c r="C6" s="8"/>
      <c r="D6" s="8"/>
      <c r="E6" s="8"/>
      <c r="F6" s="8"/>
      <c r="G6" s="8"/>
      <c r="H6" s="8"/>
      <c r="I6" s="8"/>
      <c r="K6" s="149"/>
      <c r="M6" s="150" t="s">
        <v>8</v>
      </c>
      <c r="N6" s="150"/>
      <c r="O6" s="150"/>
      <c r="P6" s="150"/>
      <c r="Q6" s="64"/>
    </row>
    <row r="7" spans="1:17" x14ac:dyDescent="0.25">
      <c r="B7" s="8"/>
      <c r="C7" s="8"/>
      <c r="D7" s="8"/>
      <c r="E7" s="8"/>
      <c r="F7" s="8"/>
      <c r="G7" s="8"/>
      <c r="H7" s="8"/>
      <c r="I7" s="8"/>
      <c r="K7" s="149"/>
      <c r="M7" s="150"/>
      <c r="N7" s="150"/>
      <c r="O7" s="150"/>
      <c r="P7" s="150"/>
      <c r="Q7" s="64"/>
    </row>
    <row r="8" spans="1:17" ht="18.75" customHeight="1" x14ac:dyDescent="0.25">
      <c r="B8" s="8"/>
      <c r="C8" s="8"/>
      <c r="D8" s="8"/>
      <c r="E8" s="8"/>
      <c r="F8" s="8"/>
      <c r="G8" s="8"/>
      <c r="H8" s="8"/>
      <c r="I8" s="8"/>
      <c r="J8" s="9"/>
      <c r="K8" s="149"/>
      <c r="M8" s="151" t="s">
        <v>110</v>
      </c>
      <c r="N8" s="151"/>
      <c r="O8" s="151"/>
      <c r="P8" s="151"/>
      <c r="Q8" s="64"/>
    </row>
    <row r="9" spans="1:17" ht="48" customHeight="1" x14ac:dyDescent="0.25">
      <c r="B9" s="8"/>
      <c r="C9" s="8"/>
      <c r="D9" s="8"/>
      <c r="E9" s="8"/>
      <c r="F9" s="8"/>
      <c r="G9" s="8"/>
      <c r="H9" s="8"/>
      <c r="I9" s="8"/>
      <c r="K9" s="149"/>
      <c r="M9" s="168"/>
      <c r="N9" s="169"/>
      <c r="O9" s="169"/>
      <c r="P9" s="170"/>
      <c r="Q9" s="64"/>
    </row>
    <row r="10" spans="1:17" ht="17.25" customHeight="1" x14ac:dyDescent="0.25">
      <c r="M10" s="168"/>
      <c r="N10" s="169"/>
      <c r="O10" s="169"/>
      <c r="P10" s="170"/>
    </row>
    <row r="11" spans="1:17" ht="21.75" customHeight="1" x14ac:dyDescent="0.25">
      <c r="M11" s="175" t="str">
        <f>IF(Q4=FALSE,"Matróz képesítés","Képesített matróz képesítés")</f>
        <v>Matróz képesítés</v>
      </c>
      <c r="N11" s="175"/>
      <c r="O11" s="175"/>
      <c r="P11" s="175"/>
    </row>
    <row r="12" spans="1:17" x14ac:dyDescent="0.25">
      <c r="K12" s="1" t="s">
        <v>119</v>
      </c>
    </row>
    <row r="13" spans="1:17" s="2" customFormat="1" ht="54.75" customHeight="1" x14ac:dyDescent="0.25">
      <c r="A13"/>
      <c r="B13" s="177"/>
      <c r="C13" s="177"/>
      <c r="D13" s="177"/>
      <c r="E13" s="177"/>
      <c r="F13" s="177"/>
      <c r="G13" s="177"/>
      <c r="H13" s="177"/>
      <c r="I13" s="177"/>
      <c r="K13" s="10">
        <f>KEZDŐLAP!F30</f>
        <v>6500</v>
      </c>
      <c r="L13"/>
      <c r="M13" s="171"/>
      <c r="N13" s="171"/>
      <c r="O13" s="171"/>
      <c r="P13" s="171"/>
    </row>
    <row r="14" spans="1:17" s="2" customFormat="1" ht="15.75" customHeight="1" x14ac:dyDescent="0.25">
      <c r="A14"/>
      <c r="B14"/>
      <c r="C14"/>
      <c r="D14"/>
      <c r="E14"/>
      <c r="F14"/>
      <c r="G14"/>
      <c r="H14"/>
      <c r="I14"/>
    </row>
    <row r="15" spans="1:17" s="1" customFormat="1" x14ac:dyDescent="0.25">
      <c r="A15"/>
      <c r="B15"/>
      <c r="C15"/>
      <c r="D15"/>
      <c r="E15"/>
      <c r="F15"/>
      <c r="G15"/>
      <c r="H15"/>
      <c r="I15"/>
      <c r="L15" s="2"/>
      <c r="M15" s="2"/>
      <c r="N15" s="2"/>
      <c r="O15" s="2"/>
    </row>
  </sheetData>
  <sheetProtection sheet="1" selectLockedCells="1"/>
  <protectedRanges>
    <protectedRange password="EFFA" sqref="B4:J9 J14:P15 J12 J13:L13 L12:P12 A10:P11 B1:P2 J3:Q3 L4:L9 N4:Q9 M5:M9" name="Tartomány1"/>
    <protectedRange password="EFFA" sqref="K4:K9" name="Tartomány1_2"/>
    <protectedRange password="EFFA" sqref="M13:P13" name="Tartomány1_1_1"/>
    <protectedRange password="EFFA" sqref="A1:A2" name="Tartomány1_3"/>
    <protectedRange password="EFFA" sqref="B3:I3" name="Tartomány1_4"/>
    <protectedRange password="EFFA" sqref="K12" name="Tartomány1_1"/>
  </protectedRanges>
  <mergeCells count="15">
    <mergeCell ref="M10:P10"/>
    <mergeCell ref="M11:P11"/>
    <mergeCell ref="B13:I13"/>
    <mergeCell ref="M13:P13"/>
    <mergeCell ref="B1:I1"/>
    <mergeCell ref="K1:K2"/>
    <mergeCell ref="M1:P2"/>
    <mergeCell ref="B2:I2"/>
    <mergeCell ref="B3:I3"/>
    <mergeCell ref="M3:P4"/>
    <mergeCell ref="K4:K9"/>
    <mergeCell ref="M5:P5"/>
    <mergeCell ref="M6:P7"/>
    <mergeCell ref="M8:P8"/>
    <mergeCell ref="M9:P9"/>
  </mergeCells>
  <hyperlinks>
    <hyperlink ref="A1" location="KEZDŐLAP!A1" display="X" xr:uid="{08AFFE12-B795-4C9F-90B0-6A46FAABCABF}"/>
  </hyperlinks>
  <pageMargins left="0.7" right="0.7" top="0.75" bottom="0.75" header="0.3" footer="0.3"/>
  <pageSetup paperSize="9"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0113" r:id="rId4" name="Check Box 1">
              <controlPr defaultSize="0" autoFill="0" autoLine="0" autoPict="0">
                <anchor moveWithCells="1">
                  <from>
                    <xdr:col>1</xdr:col>
                    <xdr:colOff>438150</xdr:colOff>
                    <xdr:row>3</xdr:row>
                    <xdr:rowOff>152400</xdr:rowOff>
                  </from>
                  <to>
                    <xdr:col>8</xdr:col>
                    <xdr:colOff>466725</xdr:colOff>
                    <xdr:row>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2">
    <tabColor rgb="FF00B0F0"/>
  </sheetPr>
  <dimension ref="A1:P26"/>
  <sheetViews>
    <sheetView workbookViewId="0"/>
  </sheetViews>
  <sheetFormatPr defaultRowHeight="15" x14ac:dyDescent="0.25"/>
  <cols>
    <col min="1" max="1" width="3.42578125" customWidth="1"/>
    <col min="2" max="8" width="16.85546875" customWidth="1"/>
    <col min="9" max="9" width="9.5703125" customWidth="1"/>
    <col min="10" max="10" width="31.7109375" customWidth="1"/>
    <col min="11" max="11" width="1.7109375" customWidth="1"/>
    <col min="12" max="15" width="13.85546875" customWidth="1"/>
    <col min="16" max="16" width="1.140625" customWidth="1"/>
  </cols>
  <sheetData>
    <row r="1" spans="1:16" ht="18" customHeight="1" x14ac:dyDescent="0.25">
      <c r="A1" s="26" t="s">
        <v>43</v>
      </c>
      <c r="B1" s="147" t="s">
        <v>16</v>
      </c>
      <c r="C1" s="147"/>
      <c r="D1" s="147"/>
      <c r="E1" s="147"/>
      <c r="F1" s="147"/>
      <c r="G1" s="147"/>
      <c r="H1" s="147"/>
      <c r="J1" s="5" t="s">
        <v>1</v>
      </c>
      <c r="L1" s="147" t="s">
        <v>6</v>
      </c>
      <c r="M1" s="147"/>
      <c r="N1" s="147"/>
      <c r="O1" s="147"/>
    </row>
    <row r="2" spans="1:16" ht="15.75" customHeight="1" x14ac:dyDescent="0.25">
      <c r="B2" s="176" t="s">
        <v>61</v>
      </c>
      <c r="C2" s="176"/>
      <c r="D2" s="176"/>
      <c r="E2" s="176"/>
      <c r="F2" s="176"/>
      <c r="G2" s="176"/>
      <c r="H2" s="176"/>
      <c r="J2" s="1"/>
      <c r="P2" s="61"/>
    </row>
    <row r="3" spans="1:16" ht="15" customHeight="1" x14ac:dyDescent="0.25">
      <c r="B3" s="8"/>
      <c r="C3" s="8"/>
      <c r="D3" s="8"/>
      <c r="E3" s="8"/>
      <c r="F3" s="8"/>
      <c r="G3" s="8"/>
      <c r="H3" s="8"/>
      <c r="J3" s="149" t="str">
        <f>IF(OR(P4,P5,P8,P9,P10,P12,P13)=TRUE,"Nem kell további gyakorlati időt igazolni !",IF(OR(P7,P6)=TRUE," 3 hónap szolgálati célú vagy hivatásos fedélzeti szolgálat","4 hónap szolgálati célú vagy hivatásos fedélzeti szolgálat"))</f>
        <v>4 hónap szolgálati célú vagy hivatásos fedélzeti szolgálat</v>
      </c>
      <c r="L3" s="175" t="str">
        <f>IF(H21&gt;0,"Írásos vizsgajelentkezési/felmentési kérelem","Okmányigénylés és fotó benyújtása")</f>
        <v>Írásos vizsgajelentkezési/felmentési kérelem</v>
      </c>
      <c r="M3" s="175"/>
      <c r="N3" s="175"/>
      <c r="O3" s="175"/>
      <c r="P3" s="62"/>
    </row>
    <row r="4" spans="1:16" x14ac:dyDescent="0.25">
      <c r="B4" s="8"/>
      <c r="C4" s="8"/>
      <c r="D4" s="8"/>
      <c r="E4" s="8"/>
      <c r="F4" s="8"/>
      <c r="G4" s="8"/>
      <c r="H4" s="8"/>
      <c r="J4" s="149"/>
      <c r="L4" s="178" t="s">
        <v>7</v>
      </c>
      <c r="M4" s="178"/>
      <c r="N4" s="178"/>
      <c r="O4" s="178"/>
      <c r="P4" s="63" t="b">
        <v>0</v>
      </c>
    </row>
    <row r="5" spans="1:16" x14ac:dyDescent="0.25">
      <c r="B5" s="8"/>
      <c r="C5" s="8"/>
      <c r="D5" s="8"/>
      <c r="E5" s="8"/>
      <c r="F5" s="8"/>
      <c r="G5" s="8"/>
      <c r="H5" s="8"/>
      <c r="J5" s="149"/>
      <c r="L5" s="179" t="s">
        <v>33</v>
      </c>
      <c r="M5" s="180"/>
      <c r="N5" s="180"/>
      <c r="O5" s="181"/>
      <c r="P5" s="63" t="b">
        <v>0</v>
      </c>
    </row>
    <row r="6" spans="1:16" x14ac:dyDescent="0.25">
      <c r="B6" s="8"/>
      <c r="C6" s="8"/>
      <c r="D6" s="8"/>
      <c r="E6" s="8"/>
      <c r="F6" s="8"/>
      <c r="G6" s="8"/>
      <c r="H6" s="8"/>
      <c r="J6" s="149"/>
      <c r="L6" s="175" t="s">
        <v>224</v>
      </c>
      <c r="M6" s="175"/>
      <c r="N6" s="175"/>
      <c r="O6" s="175"/>
      <c r="P6" s="63" t="b">
        <v>0</v>
      </c>
    </row>
    <row r="7" spans="1:16" x14ac:dyDescent="0.25">
      <c r="B7" s="8"/>
      <c r="C7" s="8"/>
      <c r="D7" s="8"/>
      <c r="E7" s="8"/>
      <c r="F7" s="8"/>
      <c r="G7" s="8"/>
      <c r="H7" s="8"/>
      <c r="J7" s="149"/>
      <c r="L7" s="175"/>
      <c r="M7" s="175"/>
      <c r="N7" s="175"/>
      <c r="O7" s="175"/>
      <c r="P7" s="63" t="b">
        <v>0</v>
      </c>
    </row>
    <row r="8" spans="1:16" ht="31.5" customHeight="1" x14ac:dyDescent="0.25">
      <c r="B8" s="8"/>
      <c r="C8" s="8"/>
      <c r="D8" s="8"/>
      <c r="E8" s="8"/>
      <c r="F8" s="8"/>
      <c r="G8" s="8"/>
      <c r="H8" s="8"/>
      <c r="J8" s="149"/>
      <c r="L8" s="175" t="str">
        <f>IF(H21=0,"",IF(P14=TRUE,"Hajózási szakképzésben szerzett képesítő bizonyítvány","A szolgálati kisgéphajó-vezető vizsga tantárgyait magába foglaló jóváhagyott képzés igazolt elvégzése"))</f>
        <v>A szolgálati kisgéphajó-vezető vizsga tantárgyait magába foglaló jóváhagyott képzés igazolt elvégzése</v>
      </c>
      <c r="M8" s="175" t="str">
        <f t="shared" ref="L8:O9" si="0">IF($P$11=TRUE,"Hajózási technikusi, vagy hajózási főiskolai oklevél bemutatása","A vizsgatárgyakat tartalmazó képzésen való részvétel igazolása")</f>
        <v>A vizsgatárgyakat tartalmazó képzésen való részvétel igazolása</v>
      </c>
      <c r="N8" s="175" t="str">
        <f t="shared" si="0"/>
        <v>A vizsgatárgyakat tartalmazó képzésen való részvétel igazolása</v>
      </c>
      <c r="O8" s="175" t="str">
        <f t="shared" si="0"/>
        <v>A vizsgatárgyakat tartalmazó képzésen való részvétel igazolása</v>
      </c>
      <c r="P8" s="63" t="b">
        <v>0</v>
      </c>
    </row>
    <row r="9" spans="1:16" ht="31.5" customHeight="1" x14ac:dyDescent="0.25">
      <c r="B9" s="8"/>
      <c r="C9" s="8"/>
      <c r="D9" s="8"/>
      <c r="E9" s="8"/>
      <c r="F9" s="8"/>
      <c r="G9" s="8"/>
      <c r="H9" s="8"/>
      <c r="J9" s="149"/>
      <c r="L9" s="175" t="str">
        <f t="shared" si="0"/>
        <v>A vizsgatárgyakat tartalmazó képzésen való részvétel igazolása</v>
      </c>
      <c r="M9" s="175" t="str">
        <f t="shared" si="0"/>
        <v>A vizsgatárgyakat tartalmazó képzésen való részvétel igazolása</v>
      </c>
      <c r="N9" s="175" t="str">
        <f t="shared" si="0"/>
        <v>A vizsgatárgyakat tartalmazó képzésen való részvétel igazolása</v>
      </c>
      <c r="O9" s="175" t="str">
        <f t="shared" si="0"/>
        <v>A vizsgatárgyakat tartalmazó képzésen való részvétel igazolása</v>
      </c>
      <c r="P9" s="63" t="b">
        <v>0</v>
      </c>
    </row>
    <row r="10" spans="1:16" x14ac:dyDescent="0.25">
      <c r="B10" s="8"/>
      <c r="C10" s="8"/>
      <c r="D10" s="8"/>
      <c r="E10" s="8"/>
      <c r="F10" s="8"/>
      <c r="G10" s="8"/>
      <c r="H10" s="8"/>
      <c r="I10" s="9"/>
      <c r="J10" s="149"/>
      <c r="L10" s="178" t="s">
        <v>108</v>
      </c>
      <c r="M10" s="178"/>
      <c r="N10" s="178"/>
      <c r="O10" s="178"/>
      <c r="P10" s="63" t="b">
        <v>0</v>
      </c>
    </row>
    <row r="11" spans="1:16" x14ac:dyDescent="0.25">
      <c r="B11" s="8"/>
      <c r="C11" s="8"/>
      <c r="D11" s="8"/>
      <c r="E11" s="8"/>
      <c r="F11" s="8"/>
      <c r="G11" s="8"/>
      <c r="H11" s="8"/>
      <c r="J11" s="149"/>
      <c r="L11" s="178"/>
      <c r="M11" s="178"/>
      <c r="N11" s="178"/>
      <c r="O11" s="178"/>
      <c r="P11" s="63" t="b">
        <v>0</v>
      </c>
    </row>
    <row r="12" spans="1:16" x14ac:dyDescent="0.25">
      <c r="B12" s="8"/>
      <c r="C12" s="8"/>
      <c r="D12" s="8"/>
      <c r="E12" s="8"/>
      <c r="F12" s="8"/>
      <c r="G12" s="8"/>
      <c r="H12" s="8"/>
      <c r="J12" s="149"/>
      <c r="L12" s="178"/>
      <c r="M12" s="178"/>
      <c r="N12" s="178"/>
      <c r="O12" s="178"/>
      <c r="P12" s="63" t="b">
        <v>0</v>
      </c>
    </row>
    <row r="13" spans="1:16" x14ac:dyDescent="0.25">
      <c r="B13" s="8"/>
      <c r="C13" s="8"/>
      <c r="D13" s="8"/>
      <c r="E13" s="8"/>
      <c r="F13" s="8"/>
      <c r="G13" s="8"/>
      <c r="H13" s="8"/>
      <c r="J13" s="11"/>
      <c r="L13" s="182" t="str">
        <f>IF(OR(P11,P14)=TRUE,"Felmentési kérelemhez: képesítő okmány,vizsgajegyzőkönyv, leckekönyv vagy tanterv","")</f>
        <v/>
      </c>
      <c r="M13" s="183"/>
      <c r="N13" s="183"/>
      <c r="O13" s="184"/>
      <c r="P13" s="63" t="b">
        <v>0</v>
      </c>
    </row>
    <row r="14" spans="1:16" x14ac:dyDescent="0.25">
      <c r="B14" s="8"/>
      <c r="C14" s="8"/>
      <c r="D14" s="8"/>
      <c r="E14" s="8"/>
      <c r="F14" s="8"/>
      <c r="G14" s="8"/>
      <c r="H14" s="8"/>
      <c r="J14" s="11"/>
      <c r="L14" s="185"/>
      <c r="M14" s="149"/>
      <c r="N14" s="149"/>
      <c r="O14" s="186"/>
      <c r="P14" s="63" t="b">
        <v>0</v>
      </c>
    </row>
    <row r="15" spans="1:16" x14ac:dyDescent="0.25">
      <c r="B15" s="8"/>
      <c r="C15" s="8"/>
      <c r="D15" s="8"/>
      <c r="E15" s="8"/>
      <c r="F15" s="8"/>
      <c r="G15" s="8"/>
      <c r="H15" s="8"/>
      <c r="J15" s="11"/>
      <c r="L15" s="187"/>
      <c r="M15" s="188"/>
      <c r="N15" s="188"/>
      <c r="O15" s="189"/>
      <c r="P15" s="63"/>
    </row>
    <row r="16" spans="1:16" ht="15" customHeight="1" x14ac:dyDescent="0.25">
      <c r="L16" s="175" t="str">
        <f>IF(OR(P3,P4,P5,P6,P7,P8,P9,P10,P11,P12,P16,P13)=TRUE,"","Legalább alapfokú iskolai végzettség igazolása")</f>
        <v>Legalább alapfokú iskolai végzettség igazolása</v>
      </c>
      <c r="M16" s="175"/>
      <c r="N16" s="175"/>
      <c r="O16" s="175"/>
      <c r="P16" s="63" t="b">
        <v>0</v>
      </c>
    </row>
    <row r="17" spans="2:16" x14ac:dyDescent="0.25">
      <c r="B17" s="158" t="s">
        <v>13</v>
      </c>
      <c r="C17" s="158"/>
      <c r="D17" s="158"/>
      <c r="E17" s="158"/>
      <c r="F17" s="158"/>
      <c r="G17" s="158"/>
      <c r="H17" s="158"/>
      <c r="J17" s="1" t="s">
        <v>89</v>
      </c>
      <c r="L17" s="175"/>
      <c r="M17" s="175"/>
      <c r="N17" s="175"/>
      <c r="O17" s="175"/>
      <c r="P17" s="61"/>
    </row>
    <row r="18" spans="2:16" s="2" customFormat="1" ht="111.75" customHeight="1" x14ac:dyDescent="0.25">
      <c r="B18" s="3" t="s">
        <v>19</v>
      </c>
      <c r="C18" s="3" t="s">
        <v>20</v>
      </c>
      <c r="D18" s="3" t="s">
        <v>21</v>
      </c>
      <c r="E18" s="3" t="s">
        <v>2</v>
      </c>
      <c r="F18" s="3" t="s">
        <v>87</v>
      </c>
      <c r="G18" s="3" t="s">
        <v>3</v>
      </c>
      <c r="H18" s="3" t="s">
        <v>59</v>
      </c>
      <c r="I18" s="3" t="s">
        <v>84</v>
      </c>
      <c r="J18" s="43">
        <f>SUM(B20:I20)</f>
        <v>99600</v>
      </c>
      <c r="K18"/>
      <c r="L18" s="159" t="str">
        <f>IF(P14=TRUE,"Hajózási szakképzésben szerzett képesítő bizonyítványként azt a képesítő okmányt lehet elfogadni, amelyet olyan oktatási intézmény adott ki, amelynek tanterve a hajózási hatóság által jóváhagyott szakmai oktatási programot tartalmazza","")</f>
        <v/>
      </c>
      <c r="M18" s="159"/>
      <c r="N18" s="159"/>
      <c r="O18" s="159"/>
    </row>
    <row r="19" spans="2:16" s="17" customFormat="1" ht="25.5" customHeight="1" x14ac:dyDescent="0.25">
      <c r="B19" s="87" t="str">
        <f>IF(B20=0,"Felmentés",IF(OR($P$11,$P$14)=TRUE,"Felmentés/vizsga","Vizsga"))</f>
        <v>Vizsga</v>
      </c>
      <c r="C19" s="87" t="str">
        <f t="shared" ref="C19:G19" si="1">IF(C20=0,"Felmentés",IF(OR($P$11,$P$14)=TRUE,"Felmentés/vizsga","Vizsga"))</f>
        <v>Vizsga</v>
      </c>
      <c r="D19" s="87" t="str">
        <f t="shared" si="1"/>
        <v>Vizsga</v>
      </c>
      <c r="E19" s="87" t="str">
        <f t="shared" si="1"/>
        <v>Vizsga</v>
      </c>
      <c r="F19" s="87" t="str">
        <f t="shared" si="1"/>
        <v>Vizsga</v>
      </c>
      <c r="G19" s="87" t="str">
        <f t="shared" si="1"/>
        <v>Vizsga</v>
      </c>
      <c r="H19" s="87" t="str">
        <f>IF(H20=0,"Felmentés","Vizsga")</f>
        <v>Vizsga</v>
      </c>
      <c r="I19" s="99" t="s">
        <v>85</v>
      </c>
      <c r="L19" s="190" t="s">
        <v>39</v>
      </c>
      <c r="M19" s="190"/>
      <c r="N19" s="190"/>
      <c r="O19" s="190"/>
    </row>
    <row r="20" spans="2:16" s="1" customFormat="1" x14ac:dyDescent="0.25">
      <c r="B20" s="4">
        <f>IF(OR($P$4,$P$5,$P$8,$P$10,$P$13)=TRUE,0,KEZDŐLAP!F25)</f>
        <v>10800</v>
      </c>
      <c r="C20" s="4">
        <f>IF(OR($P$4,$P$5,$P$8,$P$10,$P$13)=TRUE,0,KEZDŐLAP!F25)</f>
        <v>10800</v>
      </c>
      <c r="D20" s="4">
        <f>IF(OR(P4,P6,P8,P12,P13)=TRUE,0,KEZDŐLAP!F25)</f>
        <v>10800</v>
      </c>
      <c r="E20" s="4">
        <f>IF(OR(P4,P6,P16,P10,P12,P13)=TRUE,0,KEZDŐLAP!F25)</f>
        <v>10800</v>
      </c>
      <c r="F20" s="4">
        <f>IF(OR(P4,P10,P13)=TRUE,0,KEZDŐLAP!F25)</f>
        <v>10800</v>
      </c>
      <c r="G20" s="4">
        <f>IF(OR(P4,P9,P16,P8,P10,P12,P13,P5)=TRUE,0,KEZDŐLAP!F25)</f>
        <v>10800</v>
      </c>
      <c r="H20" s="4">
        <f>IF(P13=TRUE,0,KEZDŐLAP!F29)</f>
        <v>28300</v>
      </c>
      <c r="I20" s="41">
        <f>KEZDŐLAP!F30</f>
        <v>6500</v>
      </c>
      <c r="K20" s="2"/>
      <c r="L20" s="190"/>
      <c r="M20" s="190"/>
      <c r="N20" s="190"/>
      <c r="O20" s="190"/>
    </row>
    <row r="21" spans="2:16" x14ac:dyDescent="0.25">
      <c r="C21" s="38"/>
      <c r="G21" s="44" t="s">
        <v>86</v>
      </c>
      <c r="H21" s="33">
        <f>SUM(B20:H20)</f>
        <v>93100</v>
      </c>
      <c r="L21" s="190"/>
      <c r="M21" s="190"/>
      <c r="N21" s="190"/>
      <c r="O21" s="190"/>
    </row>
    <row r="22" spans="2:16" ht="15.75" x14ac:dyDescent="0.25">
      <c r="B22" s="16"/>
      <c r="L22" s="190"/>
      <c r="M22" s="190"/>
      <c r="N22" s="190"/>
      <c r="O22" s="190"/>
    </row>
    <row r="23" spans="2:16" x14ac:dyDescent="0.25">
      <c r="L23" s="100"/>
      <c r="M23" s="100"/>
      <c r="N23" s="100"/>
      <c r="O23" s="100"/>
    </row>
    <row r="24" spans="2:16" x14ac:dyDescent="0.25">
      <c r="L24" s="100"/>
      <c r="M24" s="100"/>
      <c r="N24" s="100"/>
      <c r="O24" s="100"/>
    </row>
    <row r="25" spans="2:16" x14ac:dyDescent="0.25">
      <c r="L25" s="100"/>
      <c r="M25" s="100"/>
      <c r="N25" s="100"/>
      <c r="O25" s="100"/>
    </row>
    <row r="26" spans="2:16" x14ac:dyDescent="0.25">
      <c r="L26" s="100"/>
      <c r="M26" s="100"/>
      <c r="N26" s="100"/>
      <c r="O26" s="100"/>
    </row>
  </sheetData>
  <sheetProtection sheet="1" selectLockedCells="1"/>
  <protectedRanges>
    <protectedRange password="EFFA" sqref="P3:P16 H1:O16 A1 H17:I17 K17:O17 C21 A16:A20 L18:L19 H18:K20 M18:O20 B1:G20" name="Tartomány1"/>
    <protectedRange password="EFFA" sqref="J17" name="Tartomány1_1"/>
  </protectedRanges>
  <mergeCells count="17">
    <mergeCell ref="L16:O17"/>
    <mergeCell ref="L13:O15"/>
    <mergeCell ref="L18:O18"/>
    <mergeCell ref="B17:H17"/>
    <mergeCell ref="L19:O22"/>
    <mergeCell ref="B1:H1"/>
    <mergeCell ref="L1:O1"/>
    <mergeCell ref="J3:J12"/>
    <mergeCell ref="L3:O3"/>
    <mergeCell ref="L4:O4"/>
    <mergeCell ref="L6:O7"/>
    <mergeCell ref="L8:O9"/>
    <mergeCell ref="L10:O10"/>
    <mergeCell ref="L11:O11"/>
    <mergeCell ref="L12:O12"/>
    <mergeCell ref="L5:O5"/>
    <mergeCell ref="B2:H2"/>
  </mergeCells>
  <conditionalFormatting sqref="B19:H19">
    <cfRule type="containsText" dxfId="81" priority="1" operator="containsText" text="Vizsga">
      <formula>NOT(ISERROR(SEARCH("Vizsga",B19)))</formula>
    </cfRule>
    <cfRule type="containsText" dxfId="80" priority="2" operator="containsText" text="&quot;Vizsga&quot;">
      <formula>NOT(ISERROR(SEARCH("""Vizsga""",B19)))</formula>
    </cfRule>
  </conditionalFormatting>
  <hyperlinks>
    <hyperlink ref="A1" location="KEZDŐLAP!A1" display="X" xr:uid="{00000000-0004-0000-0200-000000000000}"/>
  </hyperlinks>
  <pageMargins left="0.7" right="0.7" top="0.75" bottom="0.75" header="0.3" footer="0.3"/>
  <pageSetup paperSize="9"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1</xdr:col>
                    <xdr:colOff>438150</xdr:colOff>
                    <xdr:row>4</xdr:row>
                    <xdr:rowOff>104775</xdr:rowOff>
                  </from>
                  <to>
                    <xdr:col>6</xdr:col>
                    <xdr:colOff>47625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5" name="Check Box 3">
              <controlPr defaultSize="0" autoFill="0" autoLine="0" autoPict="0">
                <anchor moveWithCells="1">
                  <from>
                    <xdr:col>1</xdr:col>
                    <xdr:colOff>438150</xdr:colOff>
                    <xdr:row>9</xdr:row>
                    <xdr:rowOff>114300</xdr:rowOff>
                  </from>
                  <to>
                    <xdr:col>7</xdr:col>
                    <xdr:colOff>1076325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6" name="Check Box 4">
              <controlPr locked="0" defaultSize="0" autoFill="0" autoLine="0" autoPict="0">
                <anchor moveWithCells="1">
                  <from>
                    <xdr:col>1</xdr:col>
                    <xdr:colOff>438150</xdr:colOff>
                    <xdr:row>2</xdr:row>
                    <xdr:rowOff>0</xdr:rowOff>
                  </from>
                  <to>
                    <xdr:col>6</xdr:col>
                    <xdr:colOff>47625</xdr:colOff>
                    <xdr:row>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7" name="Check Box 5">
              <controlPr defaultSize="0" autoFill="0" autoLine="0" autoPict="0">
                <anchor moveWithCells="1">
                  <from>
                    <xdr:col>1</xdr:col>
                    <xdr:colOff>438150</xdr:colOff>
                    <xdr:row>12</xdr:row>
                    <xdr:rowOff>95250</xdr:rowOff>
                  </from>
                  <to>
                    <xdr:col>4</xdr:col>
                    <xdr:colOff>1000125</xdr:colOff>
                    <xdr:row>13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8" name="Check Box 6">
              <controlPr defaultSize="0" autoFill="0" autoLine="0" autoPict="0">
                <anchor moveWithCells="1">
                  <from>
                    <xdr:col>1</xdr:col>
                    <xdr:colOff>438150</xdr:colOff>
                    <xdr:row>3</xdr:row>
                    <xdr:rowOff>57150</xdr:rowOff>
                  </from>
                  <to>
                    <xdr:col>6</xdr:col>
                    <xdr:colOff>47625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9" name="Check Box 7">
              <controlPr defaultSize="0" autoFill="0" autoLine="0" autoPict="0">
                <anchor moveWithCells="1">
                  <from>
                    <xdr:col>1</xdr:col>
                    <xdr:colOff>438150</xdr:colOff>
                    <xdr:row>7</xdr:row>
                    <xdr:rowOff>19050</xdr:rowOff>
                  </from>
                  <to>
                    <xdr:col>4</xdr:col>
                    <xdr:colOff>885825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0" name="Check Box 8">
              <controlPr defaultSize="0" autoFill="0" autoLine="0" autoPict="0">
                <anchor moveWithCells="1">
                  <from>
                    <xdr:col>1</xdr:col>
                    <xdr:colOff>438150</xdr:colOff>
                    <xdr:row>7</xdr:row>
                    <xdr:rowOff>247650</xdr:rowOff>
                  </from>
                  <to>
                    <xdr:col>4</xdr:col>
                    <xdr:colOff>885825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1" name="Check Box 9">
              <controlPr defaultSize="0" autoFill="0" autoLine="0" autoPict="0">
                <anchor moveWithCells="1">
                  <from>
                    <xdr:col>1</xdr:col>
                    <xdr:colOff>438150</xdr:colOff>
                    <xdr:row>8</xdr:row>
                    <xdr:rowOff>66675</xdr:rowOff>
                  </from>
                  <to>
                    <xdr:col>4</xdr:col>
                    <xdr:colOff>885825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2" name="Check Box 10">
              <controlPr defaultSize="0" autoFill="0" autoLine="0" autoPict="0">
                <anchor moveWithCells="1">
                  <from>
                    <xdr:col>1</xdr:col>
                    <xdr:colOff>438150</xdr:colOff>
                    <xdr:row>11</xdr:row>
                    <xdr:rowOff>66675</xdr:rowOff>
                  </from>
                  <to>
                    <xdr:col>4</xdr:col>
                    <xdr:colOff>885825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3" name="Check Box 11">
              <controlPr defaultSize="0" autoFill="0" autoLine="0" autoPict="0">
                <anchor moveWithCells="1">
                  <from>
                    <xdr:col>1</xdr:col>
                    <xdr:colOff>438150</xdr:colOff>
                    <xdr:row>5</xdr:row>
                    <xdr:rowOff>161925</xdr:rowOff>
                  </from>
                  <to>
                    <xdr:col>6</xdr:col>
                    <xdr:colOff>47625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4" name="Check Box 12">
              <controlPr defaultSize="0" autoFill="0" autoLine="0" autoPict="0">
                <anchor moveWithCells="1">
                  <from>
                    <xdr:col>1</xdr:col>
                    <xdr:colOff>438150</xdr:colOff>
                    <xdr:row>13</xdr:row>
                    <xdr:rowOff>123825</xdr:rowOff>
                  </from>
                  <to>
                    <xdr:col>6</xdr:col>
                    <xdr:colOff>609600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5" name="Check Box 13">
              <controlPr defaultSize="0" autoFill="0" autoLine="0" autoPict="0">
                <anchor moveWithCells="1">
                  <from>
                    <xdr:col>1</xdr:col>
                    <xdr:colOff>438150</xdr:colOff>
                    <xdr:row>8</xdr:row>
                    <xdr:rowOff>295275</xdr:rowOff>
                  </from>
                  <to>
                    <xdr:col>4</xdr:col>
                    <xdr:colOff>885825</xdr:colOff>
                    <xdr:row>9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5C2FE-400E-4CEF-8867-93443901A2B5}">
  <sheetPr>
    <tabColor rgb="FF00B0F0"/>
  </sheetPr>
  <dimension ref="A1:P26"/>
  <sheetViews>
    <sheetView workbookViewId="0"/>
  </sheetViews>
  <sheetFormatPr defaultRowHeight="15" x14ac:dyDescent="0.25"/>
  <cols>
    <col min="1" max="1" width="3.42578125" customWidth="1"/>
    <col min="2" max="8" width="17.140625" customWidth="1"/>
    <col min="9" max="9" width="9.5703125" customWidth="1"/>
    <col min="10" max="10" width="31.7109375" customWidth="1"/>
    <col min="11" max="11" width="1.7109375" customWidth="1"/>
    <col min="12" max="15" width="13.85546875" customWidth="1"/>
    <col min="16" max="16" width="1.42578125" customWidth="1"/>
  </cols>
  <sheetData>
    <row r="1" spans="1:16" ht="18" customHeight="1" x14ac:dyDescent="0.25">
      <c r="A1" s="26" t="s">
        <v>43</v>
      </c>
      <c r="B1" s="147" t="s">
        <v>0</v>
      </c>
      <c r="C1" s="147"/>
      <c r="D1" s="147"/>
      <c r="E1" s="147"/>
      <c r="F1" s="147"/>
      <c r="G1" s="147"/>
      <c r="H1" s="147"/>
      <c r="J1" s="5" t="s">
        <v>1</v>
      </c>
      <c r="L1" s="147" t="s">
        <v>6</v>
      </c>
      <c r="M1" s="147"/>
      <c r="N1" s="147"/>
      <c r="O1" s="147"/>
    </row>
    <row r="2" spans="1:16" ht="19.5" customHeight="1" x14ac:dyDescent="0.25">
      <c r="B2" s="176" t="s">
        <v>61</v>
      </c>
      <c r="C2" s="176"/>
      <c r="D2" s="176"/>
      <c r="E2" s="176"/>
      <c r="F2" s="176"/>
      <c r="G2" s="176"/>
      <c r="H2" s="176"/>
      <c r="J2" s="1"/>
      <c r="P2" s="61"/>
    </row>
    <row r="3" spans="1:16" ht="19.5" customHeight="1" x14ac:dyDescent="0.25">
      <c r="B3" s="8"/>
      <c r="C3" s="8"/>
      <c r="D3" s="8"/>
      <c r="E3" s="8"/>
      <c r="F3" s="8"/>
      <c r="G3" s="8"/>
      <c r="H3" s="8"/>
      <c r="J3" s="149" t="str">
        <f>IF(OR(P5,P8,P13)=TRUE,"Nem kell további gyakorlati időt igazolni !",IF(OR(P7,P6)=TRUE," 6 hónap szolgálati célú vagy hivatásos fedélzeti szolgálat",IF(P11=TRUE,"12 hónap fedélzeti szolgálatban eltöltött hajózási gyakorlat",IF(P14=TRUE,"Szolgálati kisgéphajón szerzett 12 havi hajóvezetői gyakorlat, amelyet a hajózási hatóság igazol, vagy 14 hónap szolgálati célú vagy hivatásos fedélzeti szolgálat","Fedélzeti szolgálatban eltöltött 14 havi - átkelőjáratban közlekedő hajón vagy vitorlás kishajón szerzett 10 havi - hajózási gyakorlat"))))</f>
        <v>Fedélzeti szolgálatban eltöltött 14 havi - átkelőjáratban közlekedő hajón vagy vitorlás kishajón szerzett 10 havi - hajózási gyakorlat</v>
      </c>
      <c r="L3" s="175" t="str">
        <f>IF(H21&gt;0,"Írásos vizsgajelentkezési/felmentési kérelem","Okmányigénylés és fotó benyújtása")</f>
        <v>Írásos vizsgajelentkezési/felmentési kérelem</v>
      </c>
      <c r="M3" s="175"/>
      <c r="N3" s="175"/>
      <c r="O3" s="175"/>
      <c r="P3" s="62"/>
    </row>
    <row r="4" spans="1:16" ht="19.5" customHeight="1" x14ac:dyDescent="0.25">
      <c r="B4" s="8"/>
      <c r="C4" s="8"/>
      <c r="D4" s="8"/>
      <c r="E4" s="8"/>
      <c r="F4" s="8"/>
      <c r="G4" s="8"/>
      <c r="H4" s="8"/>
      <c r="J4" s="149"/>
      <c r="L4" s="178" t="s">
        <v>7</v>
      </c>
      <c r="M4" s="178"/>
      <c r="N4" s="178"/>
      <c r="O4" s="178"/>
      <c r="P4" s="63" t="b">
        <v>0</v>
      </c>
    </row>
    <row r="5" spans="1:16" ht="19.5" customHeight="1" x14ac:dyDescent="0.25">
      <c r="B5" s="8"/>
      <c r="C5" s="8"/>
      <c r="D5" s="8"/>
      <c r="E5" s="8"/>
      <c r="F5" s="8"/>
      <c r="G5" s="8"/>
      <c r="H5" s="8"/>
      <c r="J5" s="149"/>
      <c r="L5" s="179" t="s">
        <v>33</v>
      </c>
      <c r="M5" s="180"/>
      <c r="N5" s="180"/>
      <c r="O5" s="181"/>
      <c r="P5" s="63" t="b">
        <v>0</v>
      </c>
    </row>
    <row r="6" spans="1:16" ht="19.5" customHeight="1" x14ac:dyDescent="0.25">
      <c r="B6" s="8"/>
      <c r="C6" s="8"/>
      <c r="D6" s="8"/>
      <c r="E6" s="8"/>
      <c r="F6" s="8"/>
      <c r="G6" s="8"/>
      <c r="H6" s="8"/>
      <c r="J6" s="149"/>
      <c r="L6" s="175" t="s">
        <v>8</v>
      </c>
      <c r="M6" s="175"/>
      <c r="N6" s="175"/>
      <c r="O6" s="175"/>
      <c r="P6" s="63" t="b">
        <v>0</v>
      </c>
    </row>
    <row r="7" spans="1:16" ht="19.5" customHeight="1" x14ac:dyDescent="0.25">
      <c r="B7" s="8"/>
      <c r="C7" s="8"/>
      <c r="D7" s="8"/>
      <c r="E7" s="8"/>
      <c r="F7" s="8"/>
      <c r="G7" s="8"/>
      <c r="H7" s="8"/>
      <c r="J7" s="149"/>
      <c r="L7" s="175"/>
      <c r="M7" s="175"/>
      <c r="N7" s="175"/>
      <c r="O7" s="175"/>
      <c r="P7" s="63" t="b">
        <v>0</v>
      </c>
    </row>
    <row r="8" spans="1:16" ht="19.5" customHeight="1" x14ac:dyDescent="0.25">
      <c r="B8" s="8"/>
      <c r="C8" s="8"/>
      <c r="D8" s="8"/>
      <c r="E8" s="8"/>
      <c r="F8" s="8"/>
      <c r="G8" s="8"/>
      <c r="H8" s="8"/>
      <c r="J8" s="149"/>
      <c r="L8" s="175" t="str">
        <f>IF(H21=0,"",IF($P$11=TRUE,"Képesítés, bizonyítvány, oklevél bemutatása","A vizsgatárgyakat tartalmazó, jóváhagyott képzésen való részvétel igazolása"))</f>
        <v>A vizsgatárgyakat tartalmazó, jóváhagyott képzésen való részvétel igazolása</v>
      </c>
      <c r="M8" s="175" t="str">
        <f t="shared" ref="L8:O9" si="0">IF($P$11=TRUE,"Hajózási technikusi, vagy hajózási főiskolai oklevél bemutatása","A vizsgatárgyakat tartalmazó képzésen való részvétel igazolása")</f>
        <v>A vizsgatárgyakat tartalmazó képzésen való részvétel igazolása</v>
      </c>
      <c r="N8" s="175" t="str">
        <f t="shared" si="0"/>
        <v>A vizsgatárgyakat tartalmazó képzésen való részvétel igazolása</v>
      </c>
      <c r="O8" s="175" t="str">
        <f t="shared" si="0"/>
        <v>A vizsgatárgyakat tartalmazó képzésen való részvétel igazolása</v>
      </c>
      <c r="P8" s="63" t="b">
        <v>0</v>
      </c>
    </row>
    <row r="9" spans="1:16" ht="19.5" customHeight="1" x14ac:dyDescent="0.25">
      <c r="B9" s="8"/>
      <c r="C9" s="8"/>
      <c r="D9" s="8"/>
      <c r="E9" s="8"/>
      <c r="F9" s="8"/>
      <c r="G9" s="8"/>
      <c r="H9" s="8"/>
      <c r="J9" s="149"/>
      <c r="L9" s="175" t="str">
        <f t="shared" si="0"/>
        <v>A vizsgatárgyakat tartalmazó képzésen való részvétel igazolása</v>
      </c>
      <c r="M9" s="175" t="str">
        <f t="shared" si="0"/>
        <v>A vizsgatárgyakat tartalmazó képzésen való részvétel igazolása</v>
      </c>
      <c r="N9" s="175" t="str">
        <f t="shared" si="0"/>
        <v>A vizsgatárgyakat tartalmazó képzésen való részvétel igazolása</v>
      </c>
      <c r="O9" s="175" t="str">
        <f t="shared" si="0"/>
        <v>A vizsgatárgyakat tartalmazó képzésen való részvétel igazolása</v>
      </c>
      <c r="P9" s="63" t="b">
        <v>0</v>
      </c>
    </row>
    <row r="10" spans="1:16" ht="19.5" customHeight="1" x14ac:dyDescent="0.25">
      <c r="B10" s="8"/>
      <c r="C10" s="8"/>
      <c r="D10" s="8"/>
      <c r="E10" s="8"/>
      <c r="F10" s="8"/>
      <c r="G10" s="8"/>
      <c r="H10" s="8"/>
      <c r="I10" s="9"/>
      <c r="J10" s="149"/>
      <c r="L10" s="178" t="s">
        <v>108</v>
      </c>
      <c r="M10" s="178"/>
      <c r="N10" s="178"/>
      <c r="O10" s="178"/>
      <c r="P10" s="63" t="b">
        <v>0</v>
      </c>
    </row>
    <row r="11" spans="1:16" ht="19.5" customHeight="1" x14ac:dyDescent="0.25">
      <c r="B11" s="8"/>
      <c r="C11" s="8"/>
      <c r="D11" s="8"/>
      <c r="E11" s="8"/>
      <c r="F11" s="8"/>
      <c r="G11" s="8"/>
      <c r="H11" s="8"/>
      <c r="J11" s="149"/>
      <c r="L11" s="178"/>
      <c r="M11" s="178"/>
      <c r="N11" s="178"/>
      <c r="O11" s="178"/>
      <c r="P11" s="63" t="b">
        <v>0</v>
      </c>
    </row>
    <row r="12" spans="1:16" ht="19.5" customHeight="1" x14ac:dyDescent="0.25">
      <c r="B12" s="8"/>
      <c r="C12" s="8"/>
      <c r="D12" s="8"/>
      <c r="E12" s="8"/>
      <c r="F12" s="8"/>
      <c r="G12" s="8"/>
      <c r="H12" s="8"/>
      <c r="J12" s="149"/>
      <c r="L12" s="178"/>
      <c r="M12" s="178"/>
      <c r="N12" s="178"/>
      <c r="O12" s="178"/>
      <c r="P12" s="63" t="b">
        <v>0</v>
      </c>
    </row>
    <row r="13" spans="1:16" ht="19.5" customHeight="1" x14ac:dyDescent="0.25">
      <c r="B13" s="8"/>
      <c r="C13" s="8"/>
      <c r="D13" s="8"/>
      <c r="E13" s="8"/>
      <c r="F13" s="8"/>
      <c r="G13" s="8"/>
      <c r="H13" s="8"/>
      <c r="J13" s="11"/>
      <c r="L13" s="182" t="str">
        <f>IF(OR(P15,P11)=TRUE,"Felmentési kérelemhez: képesítő okmány,vizsgajegyzőkönyv, leckekönyv vagy tanterv","")</f>
        <v/>
      </c>
      <c r="M13" s="183"/>
      <c r="N13" s="183"/>
      <c r="O13" s="184"/>
      <c r="P13" s="63" t="b">
        <v>0</v>
      </c>
    </row>
    <row r="14" spans="1:16" ht="19.5" customHeight="1" x14ac:dyDescent="0.25">
      <c r="B14" s="8"/>
      <c r="C14" s="8"/>
      <c r="D14" s="8"/>
      <c r="E14" s="8"/>
      <c r="F14" s="8"/>
      <c r="G14" s="8"/>
      <c r="H14" s="8"/>
      <c r="J14" s="11"/>
      <c r="L14" s="185"/>
      <c r="M14" s="149"/>
      <c r="N14" s="149"/>
      <c r="O14" s="186"/>
      <c r="P14" s="63" t="b">
        <v>0</v>
      </c>
    </row>
    <row r="15" spans="1:16" ht="19.5" customHeight="1" x14ac:dyDescent="0.25">
      <c r="B15" s="8"/>
      <c r="C15" s="8"/>
      <c r="D15" s="8"/>
      <c r="E15" s="8"/>
      <c r="F15" s="8"/>
      <c r="G15" s="8"/>
      <c r="H15" s="8"/>
      <c r="J15" s="11"/>
      <c r="L15" s="187"/>
      <c r="M15" s="188"/>
      <c r="N15" s="188"/>
      <c r="O15" s="189"/>
      <c r="P15" s="63" t="b">
        <v>0</v>
      </c>
    </row>
    <row r="16" spans="1:16" ht="15" customHeight="1" x14ac:dyDescent="0.25">
      <c r="L16" s="175" t="str">
        <f>IF(OR(P3,P4,P5,P6,P7,P8,P9,P10,P11,P12,P16,P13,P14,P15)=TRUE,"","Legalább alapfokú iskolai végzettség igazolása")</f>
        <v>Legalább alapfokú iskolai végzettség igazolása</v>
      </c>
      <c r="M16" s="175"/>
      <c r="N16" s="175"/>
      <c r="O16" s="175"/>
      <c r="P16" s="63" t="b">
        <v>0</v>
      </c>
    </row>
    <row r="17" spans="2:16" x14ac:dyDescent="0.25">
      <c r="B17" s="158" t="s">
        <v>13</v>
      </c>
      <c r="C17" s="158"/>
      <c r="D17" s="158"/>
      <c r="E17" s="158"/>
      <c r="F17" s="158"/>
      <c r="G17" s="158"/>
      <c r="H17" s="158"/>
      <c r="J17" s="1" t="s">
        <v>89</v>
      </c>
      <c r="L17" s="175"/>
      <c r="M17" s="175"/>
      <c r="N17" s="175"/>
      <c r="O17" s="175"/>
      <c r="P17" s="61"/>
    </row>
    <row r="18" spans="2:16" s="2" customFormat="1" ht="111.75" customHeight="1" x14ac:dyDescent="0.25">
      <c r="B18" s="3" t="s">
        <v>19</v>
      </c>
      <c r="C18" s="3" t="s">
        <v>20</v>
      </c>
      <c r="D18" s="3" t="s">
        <v>21</v>
      </c>
      <c r="E18" s="3" t="s">
        <v>2</v>
      </c>
      <c r="F18" s="3" t="s">
        <v>87</v>
      </c>
      <c r="G18" s="3" t="s">
        <v>3</v>
      </c>
      <c r="H18" s="3" t="s">
        <v>59</v>
      </c>
      <c r="I18" s="3" t="s">
        <v>84</v>
      </c>
      <c r="J18" s="43">
        <f>SUM(B20:I20)</f>
        <v>99600</v>
      </c>
      <c r="K18"/>
      <c r="L18" s="159" t="str">
        <f>IF(P11=TRUE,"Hajózási szakképzésben szerzett képesítő bizonyítványként azt a képesítő okmányt lehet elfogadni, amelyet olyan oktatási intézmény adott ki, amelynek tanterve a hajózási hatóság által jóváhagyott szakmai oktatási programot tartalmazza","")</f>
        <v/>
      </c>
      <c r="M18" s="159"/>
      <c r="N18" s="159"/>
      <c r="O18" s="159"/>
    </row>
    <row r="19" spans="2:16" s="2" customFormat="1" ht="27" customHeight="1" x14ac:dyDescent="0.25">
      <c r="B19" s="87" t="str">
        <f>IF(B20=0,"Felmentés",IF(OR($P$15,$P$11)=TRUE,"Felmentés/vizsga","Vizsga"))</f>
        <v>Vizsga</v>
      </c>
      <c r="C19" s="87" t="str">
        <f t="shared" ref="C19:G19" si="1">IF(C20=0,"Felmentés",IF(OR($P$15,$P$11)=TRUE,"Felmentés/vizsga","Vizsga"))</f>
        <v>Vizsga</v>
      </c>
      <c r="D19" s="87" t="str">
        <f t="shared" si="1"/>
        <v>Vizsga</v>
      </c>
      <c r="E19" s="87" t="str">
        <f t="shared" si="1"/>
        <v>Vizsga</v>
      </c>
      <c r="F19" s="87" t="str">
        <f t="shared" si="1"/>
        <v>Vizsga</v>
      </c>
      <c r="G19" s="87" t="str">
        <f t="shared" si="1"/>
        <v>Vizsga</v>
      </c>
      <c r="H19" s="87" t="str">
        <f t="shared" ref="H19" si="2">IF(H20&lt;&gt;0,"Vizsga","Felmentés")</f>
        <v>Vizsga</v>
      </c>
      <c r="I19" s="99" t="s">
        <v>85</v>
      </c>
      <c r="L19" s="171" t="s">
        <v>225</v>
      </c>
      <c r="M19" s="171"/>
      <c r="N19" s="171"/>
      <c r="O19" s="171"/>
    </row>
    <row r="20" spans="2:16" s="1" customFormat="1" x14ac:dyDescent="0.25">
      <c r="B20" s="4">
        <f>IF(OR($P$4,$P$5,$P$8,$P$10,$P$13,P14)=TRUE,0,KEZDŐLAP!F25)</f>
        <v>10800</v>
      </c>
      <c r="C20" s="4">
        <f>IF(OR($P$4,$P$5,$P$8,$P$10,$P$13,P14)=TRUE,0,KEZDŐLAP!F25)</f>
        <v>10800</v>
      </c>
      <c r="D20" s="4">
        <f>IF(OR(P4,P6,P8,P12,P13,P14)=TRUE,0,KEZDŐLAP!F25)</f>
        <v>10800</v>
      </c>
      <c r="E20" s="4">
        <f>IF(OR(P4,P6,P16,P10,P12,P13,P14)=TRUE,0,KEZDŐLAP!F25)</f>
        <v>10800</v>
      </c>
      <c r="F20" s="4">
        <f>IF(OR(P4,P10,P13,P14)=TRUE,0,KEZDŐLAP!F25)</f>
        <v>10800</v>
      </c>
      <c r="G20" s="4">
        <f>IF(OR(P4,P9,P16,P8,P10,P12,P13,P5,P14)=TRUE,0,KEZDŐLAP!F25)</f>
        <v>10800</v>
      </c>
      <c r="H20" s="4">
        <f>IF(OR(P13,P14)=TRUE,0,KEZDŐLAP!F29)</f>
        <v>28300</v>
      </c>
      <c r="I20" s="41">
        <f>KEZDŐLAP!F30</f>
        <v>6500</v>
      </c>
      <c r="K20" s="2"/>
      <c r="L20" s="171"/>
      <c r="M20" s="171"/>
      <c r="N20" s="171"/>
      <c r="O20" s="171"/>
    </row>
    <row r="21" spans="2:16" x14ac:dyDescent="0.25">
      <c r="C21" s="38"/>
      <c r="G21" s="44" t="s">
        <v>86</v>
      </c>
      <c r="H21" s="33">
        <f>SUM(B20:H20)</f>
        <v>93100</v>
      </c>
      <c r="L21" s="171"/>
      <c r="M21" s="171"/>
      <c r="N21" s="171"/>
      <c r="O21" s="171"/>
    </row>
    <row r="22" spans="2:16" ht="15.75" x14ac:dyDescent="0.25">
      <c r="B22" s="16"/>
      <c r="L22" s="171"/>
      <c r="M22" s="171"/>
      <c r="N22" s="171"/>
      <c r="O22" s="171"/>
    </row>
    <row r="23" spans="2:16" x14ac:dyDescent="0.25">
      <c r="L23" s="100"/>
      <c r="M23" s="100"/>
      <c r="N23" s="100"/>
      <c r="O23" s="100"/>
    </row>
    <row r="24" spans="2:16" x14ac:dyDescent="0.25">
      <c r="L24" s="100"/>
      <c r="M24" s="100"/>
      <c r="N24" s="100"/>
      <c r="O24" s="100"/>
    </row>
    <row r="25" spans="2:16" x14ac:dyDescent="0.25">
      <c r="L25" s="100"/>
      <c r="M25" s="100"/>
      <c r="N25" s="100"/>
      <c r="O25" s="100"/>
    </row>
    <row r="26" spans="2:16" x14ac:dyDescent="0.25">
      <c r="L26" s="100"/>
      <c r="M26" s="100"/>
      <c r="N26" s="100"/>
      <c r="O26" s="100"/>
    </row>
  </sheetData>
  <sheetProtection sheet="1" selectLockedCells="1"/>
  <protectedRanges>
    <protectedRange password="EFFA" sqref="P3:P16 H1:O16 A1 A16:A20 H18:K20 H17:I17 K17:O17 C21 B1:G20" name="Tartomány1"/>
    <protectedRange password="EFFA" sqref="J17" name="Tartomány1_1"/>
    <protectedRange password="EFFA" sqref="M18:O20 L18 L20" name="Tartomány1_2"/>
  </protectedRanges>
  <mergeCells count="17">
    <mergeCell ref="B1:H1"/>
    <mergeCell ref="L1:O1"/>
    <mergeCell ref="B2:H2"/>
    <mergeCell ref="J3:J12"/>
    <mergeCell ref="L3:O3"/>
    <mergeCell ref="L4:O4"/>
    <mergeCell ref="L5:O5"/>
    <mergeCell ref="L6:O7"/>
    <mergeCell ref="L8:O9"/>
    <mergeCell ref="L10:O10"/>
    <mergeCell ref="L11:O11"/>
    <mergeCell ref="L12:O12"/>
    <mergeCell ref="L13:O15"/>
    <mergeCell ref="L16:O17"/>
    <mergeCell ref="B17:H17"/>
    <mergeCell ref="L18:O18"/>
    <mergeCell ref="L19:O22"/>
  </mergeCells>
  <conditionalFormatting sqref="B19:H19">
    <cfRule type="containsText" dxfId="79" priority="1" operator="containsText" text="Vizsga">
      <formula>NOT(ISERROR(SEARCH("Vizsga",B19)))</formula>
    </cfRule>
    <cfRule type="containsText" dxfId="78" priority="2" operator="containsText" text="&quot;Vizsga&quot;">
      <formula>NOT(ISERROR(SEARCH("""Vizsga""",B19)))</formula>
    </cfRule>
  </conditionalFormatting>
  <hyperlinks>
    <hyperlink ref="A1" location="KEZDŐLAP!A1" display="X" xr:uid="{82B33522-9750-415F-B04E-A56E84A1CF93}"/>
  </hyperlinks>
  <pageMargins left="0.7" right="0.7" top="0.75" bottom="0.75" header="0.3" footer="0.3"/>
  <pageSetup paperSize="9"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9393" r:id="rId4" name="Check Box 1">
              <controlPr defaultSize="0" autoFill="0" autoLine="0" autoPict="0">
                <anchor moveWithCells="1">
                  <from>
                    <xdr:col>1</xdr:col>
                    <xdr:colOff>438150</xdr:colOff>
                    <xdr:row>3</xdr:row>
                    <xdr:rowOff>209550</xdr:rowOff>
                  </from>
                  <to>
                    <xdr:col>5</xdr:col>
                    <xdr:colOff>1095375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4" r:id="rId5" name="Check Box 2">
              <controlPr defaultSize="0" autoFill="0" autoLine="0" autoPict="0">
                <anchor moveWithCells="1">
                  <from>
                    <xdr:col>1</xdr:col>
                    <xdr:colOff>438150</xdr:colOff>
                    <xdr:row>8</xdr:row>
                    <xdr:rowOff>142875</xdr:rowOff>
                  </from>
                  <to>
                    <xdr:col>6</xdr:col>
                    <xdr:colOff>790575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5" r:id="rId6" name="Check Box 3">
              <controlPr locked="0" defaultSize="0" autoFill="0" autoLine="0" autoPict="0">
                <anchor moveWithCells="1">
                  <from>
                    <xdr:col>1</xdr:col>
                    <xdr:colOff>438150</xdr:colOff>
                    <xdr:row>2</xdr:row>
                    <xdr:rowOff>0</xdr:rowOff>
                  </from>
                  <to>
                    <xdr:col>5</xdr:col>
                    <xdr:colOff>1095375</xdr:colOff>
                    <xdr:row>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6" r:id="rId7" name="Check Box 4">
              <controlPr defaultSize="0" autoFill="0" autoLine="0" autoPict="0">
                <anchor moveWithCells="1">
                  <from>
                    <xdr:col>1</xdr:col>
                    <xdr:colOff>438150</xdr:colOff>
                    <xdr:row>12</xdr:row>
                    <xdr:rowOff>66675</xdr:rowOff>
                  </from>
                  <to>
                    <xdr:col>4</xdr:col>
                    <xdr:colOff>942975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7" r:id="rId8" name="Check Box 5">
              <controlPr defaultSize="0" autoFill="0" autoLine="0" autoPict="0">
                <anchor moveWithCells="1">
                  <from>
                    <xdr:col>1</xdr:col>
                    <xdr:colOff>438150</xdr:colOff>
                    <xdr:row>2</xdr:row>
                    <xdr:rowOff>219075</xdr:rowOff>
                  </from>
                  <to>
                    <xdr:col>5</xdr:col>
                    <xdr:colOff>1095375</xdr:colOff>
                    <xdr:row>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8" r:id="rId9" name="Check Box 6">
              <controlPr defaultSize="0" autoFill="0" autoLine="0" autoPict="0">
                <anchor moveWithCells="1">
                  <from>
                    <xdr:col>1</xdr:col>
                    <xdr:colOff>438150</xdr:colOff>
                    <xdr:row>5</xdr:row>
                    <xdr:rowOff>209550</xdr:rowOff>
                  </from>
                  <to>
                    <xdr:col>4</xdr:col>
                    <xdr:colOff>828675</xdr:colOff>
                    <xdr:row>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9" r:id="rId10" name="Check Box 7">
              <controlPr defaultSize="0" autoFill="0" autoLine="0" autoPict="0">
                <anchor moveWithCells="1">
                  <from>
                    <xdr:col>1</xdr:col>
                    <xdr:colOff>438150</xdr:colOff>
                    <xdr:row>6</xdr:row>
                    <xdr:rowOff>180975</xdr:rowOff>
                  </from>
                  <to>
                    <xdr:col>4</xdr:col>
                    <xdr:colOff>828675</xdr:colOff>
                    <xdr:row>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0" r:id="rId11" name="Check Box 8">
              <controlPr defaultSize="0" autoFill="0" autoLine="0" autoPict="0">
                <anchor moveWithCells="1">
                  <from>
                    <xdr:col>1</xdr:col>
                    <xdr:colOff>438150</xdr:colOff>
                    <xdr:row>7</xdr:row>
                    <xdr:rowOff>161925</xdr:rowOff>
                  </from>
                  <to>
                    <xdr:col>4</xdr:col>
                    <xdr:colOff>828675</xdr:colOff>
                    <xdr:row>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1" r:id="rId12" name="Check Box 9">
              <controlPr defaultSize="0" autoFill="0" autoLine="0" autoPict="0">
                <anchor moveWithCells="1">
                  <from>
                    <xdr:col>1</xdr:col>
                    <xdr:colOff>438150</xdr:colOff>
                    <xdr:row>11</xdr:row>
                    <xdr:rowOff>85725</xdr:rowOff>
                  </from>
                  <to>
                    <xdr:col>4</xdr:col>
                    <xdr:colOff>828675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2" r:id="rId13" name="Check Box 10">
              <controlPr defaultSize="0" autoFill="0" autoLine="0" autoPict="0">
                <anchor moveWithCells="1">
                  <from>
                    <xdr:col>1</xdr:col>
                    <xdr:colOff>438150</xdr:colOff>
                    <xdr:row>4</xdr:row>
                    <xdr:rowOff>209550</xdr:rowOff>
                  </from>
                  <to>
                    <xdr:col>5</xdr:col>
                    <xdr:colOff>1095375</xdr:colOff>
                    <xdr:row>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3" r:id="rId14" name="Check Box 11">
              <controlPr defaultSize="0" autoFill="0" autoLine="0" autoPict="0">
                <anchor moveWithCells="1">
                  <from>
                    <xdr:col>1</xdr:col>
                    <xdr:colOff>438150</xdr:colOff>
                    <xdr:row>13</xdr:row>
                    <xdr:rowOff>28575</xdr:rowOff>
                  </from>
                  <to>
                    <xdr:col>6</xdr:col>
                    <xdr:colOff>514350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4" r:id="rId15" name="Check Box 12">
              <controlPr defaultSize="0" autoFill="0" autoLine="0" autoPict="0">
                <anchor moveWithCells="1">
                  <from>
                    <xdr:col>1</xdr:col>
                    <xdr:colOff>438150</xdr:colOff>
                    <xdr:row>14</xdr:row>
                    <xdr:rowOff>0</xdr:rowOff>
                  </from>
                  <to>
                    <xdr:col>6</xdr:col>
                    <xdr:colOff>514350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5" r:id="rId16" name="Check Box 13">
              <controlPr defaultSize="0" autoFill="0" autoLine="0" autoPict="0">
                <anchor moveWithCells="1">
                  <from>
                    <xdr:col>1</xdr:col>
                    <xdr:colOff>438150</xdr:colOff>
                    <xdr:row>10</xdr:row>
                    <xdr:rowOff>0</xdr:rowOff>
                  </from>
                  <to>
                    <xdr:col>7</xdr:col>
                    <xdr:colOff>742950</xdr:colOff>
                    <xdr:row>11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4">
    <tabColor rgb="FF00B0F0"/>
  </sheetPr>
  <dimension ref="A1:Q27"/>
  <sheetViews>
    <sheetView workbookViewId="0"/>
  </sheetViews>
  <sheetFormatPr defaultRowHeight="15" x14ac:dyDescent="0.25"/>
  <cols>
    <col min="1" max="1" width="3.42578125" customWidth="1"/>
    <col min="2" max="9" width="15.7109375" customWidth="1"/>
    <col min="10" max="10" width="11.140625" customWidth="1"/>
    <col min="11" max="11" width="31.7109375" customWidth="1"/>
    <col min="12" max="12" width="3.140625" customWidth="1"/>
    <col min="13" max="16" width="11.85546875" customWidth="1"/>
    <col min="17" max="17" width="1.5703125" customWidth="1"/>
  </cols>
  <sheetData>
    <row r="1" spans="1:17" x14ac:dyDescent="0.25">
      <c r="A1" s="26" t="s">
        <v>43</v>
      </c>
      <c r="B1" s="147" t="s">
        <v>15</v>
      </c>
      <c r="C1" s="147"/>
      <c r="D1" s="147"/>
      <c r="E1" s="147"/>
      <c r="F1" s="147"/>
      <c r="G1" s="147"/>
      <c r="H1" s="147"/>
      <c r="I1" s="147"/>
      <c r="K1" s="5" t="s">
        <v>1</v>
      </c>
      <c r="M1" s="147" t="s">
        <v>6</v>
      </c>
      <c r="N1" s="147"/>
      <c r="O1" s="147"/>
      <c r="P1" s="147"/>
    </row>
    <row r="2" spans="1:17" ht="16.5" customHeight="1" x14ac:dyDescent="0.25">
      <c r="B2" s="176" t="s">
        <v>61</v>
      </c>
      <c r="C2" s="176"/>
      <c r="D2" s="176"/>
      <c r="E2" s="176"/>
      <c r="F2" s="176"/>
      <c r="G2" s="176"/>
      <c r="H2" s="176"/>
      <c r="I2" s="8"/>
      <c r="K2" s="1"/>
      <c r="Q2" s="24"/>
    </row>
    <row r="3" spans="1:17" ht="18.75" customHeight="1" x14ac:dyDescent="0.25">
      <c r="B3" s="8"/>
      <c r="C3" s="8"/>
      <c r="D3" s="8"/>
      <c r="E3" s="8"/>
      <c r="F3" s="8"/>
      <c r="G3" s="8"/>
      <c r="H3" s="8"/>
      <c r="I3" s="8"/>
      <c r="K3" s="149" t="str">
        <f>IF(OR(Q3,Q4,Q8,Q15)=TRUE,"Nem kell további gyakorlati időt igazolni !",IF(Q5=TRUE," 6 hónap fedélzeti szolgálat",IF(Q7=TRUE," 6 hónap fedélzeti szolgálat",IF(Q12=TRUE,"8 hónap fedélzeti szolgálat ",IF(Q9=TRUE,"12 hónap szolgálati célú kisgéphajó vezető gyakorlat, vagy 14 hónap fedélzeti szolgálat",IF(Q6=TRUE," 6 hónap fedélzeti szolgálat","Fedélzeti szolgálatban eltöltött 14 havi - átkelőjáratban közlekedő hajón vagy vitorlás kishajón szerzett 10 havi - hajózási gyakorlat"))))))</f>
        <v>Fedélzeti szolgálatban eltöltött 14 havi - átkelőjáratban közlekedő hajón vagy vitorlás kishajón szerzett 10 havi - hajózási gyakorlat</v>
      </c>
      <c r="M3" s="150" t="str">
        <f>IF(I22&gt;0,"Írásos vizsgajelentkezési/felmentési kérelem","Okmánykiállítási kérelem benyújtása")</f>
        <v>Írásos vizsgajelentkezési/felmentési kérelem</v>
      </c>
      <c r="N3" s="150"/>
      <c r="O3" s="150"/>
      <c r="P3" s="150"/>
      <c r="Q3" s="63" t="b">
        <v>0</v>
      </c>
    </row>
    <row r="4" spans="1:17" ht="18.75" customHeight="1" x14ac:dyDescent="0.25">
      <c r="B4" s="8"/>
      <c r="C4" s="8"/>
      <c r="D4" s="8"/>
      <c r="E4" s="8"/>
      <c r="F4" s="8"/>
      <c r="G4" s="8"/>
      <c r="H4" s="8"/>
      <c r="I4" s="8"/>
      <c r="K4" s="149"/>
      <c r="M4" s="151" t="s">
        <v>7</v>
      </c>
      <c r="N4" s="151"/>
      <c r="O4" s="151"/>
      <c r="P4" s="151"/>
      <c r="Q4" s="63" t="b">
        <v>0</v>
      </c>
    </row>
    <row r="5" spans="1:17" ht="18.75" customHeight="1" x14ac:dyDescent="0.25">
      <c r="B5" s="8"/>
      <c r="C5" s="8"/>
      <c r="D5" s="8"/>
      <c r="E5" s="8"/>
      <c r="F5" s="8"/>
      <c r="G5" s="8"/>
      <c r="H5" s="8"/>
      <c r="I5" s="8"/>
      <c r="K5" s="149"/>
      <c r="M5" s="150" t="s">
        <v>8</v>
      </c>
      <c r="N5" s="150"/>
      <c r="O5" s="150"/>
      <c r="P5" s="150"/>
      <c r="Q5" s="63" t="b">
        <v>0</v>
      </c>
    </row>
    <row r="6" spans="1:17" ht="18.75" customHeight="1" x14ac:dyDescent="0.25">
      <c r="B6" s="8"/>
      <c r="C6" s="8"/>
      <c r="D6" s="8"/>
      <c r="E6" s="8"/>
      <c r="F6" s="8"/>
      <c r="G6" s="8"/>
      <c r="H6" s="8"/>
      <c r="I6" s="8"/>
      <c r="K6" s="149"/>
      <c r="M6" s="150"/>
      <c r="N6" s="150"/>
      <c r="O6" s="150"/>
      <c r="P6" s="150"/>
      <c r="Q6" s="63" t="b">
        <v>0</v>
      </c>
    </row>
    <row r="7" spans="1:17" ht="18.75" customHeight="1" x14ac:dyDescent="0.25">
      <c r="B7" s="8"/>
      <c r="C7" s="8"/>
      <c r="D7" s="8"/>
      <c r="E7" s="8"/>
      <c r="F7" s="8"/>
      <c r="G7" s="8"/>
      <c r="H7" s="8"/>
      <c r="I7" s="8"/>
      <c r="K7" s="149"/>
      <c r="M7" s="155" t="s">
        <v>33</v>
      </c>
      <c r="N7" s="156"/>
      <c r="O7" s="156"/>
      <c r="P7" s="157"/>
      <c r="Q7" s="63" t="b">
        <v>0</v>
      </c>
    </row>
    <row r="8" spans="1:17" ht="18.75" customHeight="1" x14ac:dyDescent="0.25">
      <c r="B8" s="8"/>
      <c r="C8" s="8"/>
      <c r="D8" s="8"/>
      <c r="E8" s="8"/>
      <c r="F8" s="8"/>
      <c r="G8" s="8"/>
      <c r="H8" s="8"/>
      <c r="I8" s="8"/>
      <c r="K8" s="149"/>
      <c r="M8" s="155"/>
      <c r="N8" s="156"/>
      <c r="O8" s="156"/>
      <c r="P8" s="157"/>
      <c r="Q8" s="63" t="b">
        <v>0</v>
      </c>
    </row>
    <row r="9" spans="1:17" ht="18.75" customHeight="1" x14ac:dyDescent="0.25">
      <c r="B9" s="8"/>
      <c r="C9" s="8"/>
      <c r="D9" s="8"/>
      <c r="E9" s="8"/>
      <c r="F9" s="8"/>
      <c r="G9" s="8"/>
      <c r="H9" s="8"/>
      <c r="I9" s="8"/>
      <c r="K9" s="149"/>
      <c r="M9" s="175" t="str">
        <f>IF(Q15=TRUE,"",IF(AND(Q12=TRUE,Q15=FALSE),"Képesítés, bizonyítvány, oklevél bemutatása","A vizsgatárgyakat tartalmazó képzésen való részvétel igazolása"))</f>
        <v>A vizsgatárgyakat tartalmazó képzésen való részvétel igazolása</v>
      </c>
      <c r="N9" s="175" t="str">
        <f t="shared" ref="N9:P10" si="0">IF($Q$11=TRUE,"Hajózási technikusi, vagy hajózási főiskolai oklevél bemutatása","A vizsgatárgyakat tartalmazó képzésen való részvétel igazolása")</f>
        <v>A vizsgatárgyakat tartalmazó képzésen való részvétel igazolása</v>
      </c>
      <c r="O9" s="175" t="str">
        <f t="shared" si="0"/>
        <v>A vizsgatárgyakat tartalmazó képzésen való részvétel igazolása</v>
      </c>
      <c r="P9" s="175" t="str">
        <f t="shared" si="0"/>
        <v>A vizsgatárgyakat tartalmazó képzésen való részvétel igazolása</v>
      </c>
      <c r="Q9" s="63" t="b">
        <v>0</v>
      </c>
    </row>
    <row r="10" spans="1:17" ht="18.75" customHeight="1" x14ac:dyDescent="0.25">
      <c r="B10" s="8"/>
      <c r="C10" s="8"/>
      <c r="D10" s="8"/>
      <c r="E10" s="8"/>
      <c r="F10" s="8"/>
      <c r="G10" s="8"/>
      <c r="H10" s="8"/>
      <c r="I10" s="8"/>
      <c r="K10" s="149"/>
      <c r="M10" s="175" t="str">
        <f>IF($Q$11=TRUE,"Hajózási technikusi, vagy hajózási főiskolai oklevél bemutatása","A vizsgatárgyakat tartalmazó képzésen való részvétel igazolása")</f>
        <v>A vizsgatárgyakat tartalmazó képzésen való részvétel igazolása</v>
      </c>
      <c r="N10" s="175" t="str">
        <f t="shared" si="0"/>
        <v>A vizsgatárgyakat tartalmazó képzésen való részvétel igazolása</v>
      </c>
      <c r="O10" s="175" t="str">
        <f t="shared" si="0"/>
        <v>A vizsgatárgyakat tartalmazó képzésen való részvétel igazolása</v>
      </c>
      <c r="P10" s="175" t="str">
        <f t="shared" si="0"/>
        <v>A vizsgatárgyakat tartalmazó képzésen való részvétel igazolása</v>
      </c>
      <c r="Q10" s="63" t="b">
        <v>0</v>
      </c>
    </row>
    <row r="11" spans="1:17" ht="18.75" customHeight="1" x14ac:dyDescent="0.25">
      <c r="B11" s="8"/>
      <c r="C11" s="8"/>
      <c r="D11" s="8"/>
      <c r="E11" s="8"/>
      <c r="F11" s="8"/>
      <c r="G11" s="8"/>
      <c r="H11" s="8"/>
      <c r="I11" s="8"/>
      <c r="J11" s="9"/>
      <c r="K11" s="149"/>
      <c r="M11" s="151" t="s">
        <v>108</v>
      </c>
      <c r="N11" s="151"/>
      <c r="O11" s="151"/>
      <c r="P11" s="151"/>
      <c r="Q11" s="63" t="b">
        <v>0</v>
      </c>
    </row>
    <row r="12" spans="1:17" ht="18.75" customHeight="1" x14ac:dyDescent="0.25">
      <c r="B12" s="8"/>
      <c r="C12" s="8"/>
      <c r="D12" s="8"/>
      <c r="E12" s="8"/>
      <c r="F12" s="8"/>
      <c r="G12" s="8"/>
      <c r="H12" s="8"/>
      <c r="I12" s="8"/>
      <c r="K12" s="149"/>
      <c r="M12" s="182" t="str">
        <f>IF(OR(Q16,Q12)=TRUE,"Felmentési kérelemhez: képesítő okmány, vizsgajegyzőkönyv, leckekönyv vagy tanterv","")</f>
        <v/>
      </c>
      <c r="N12" s="183"/>
      <c r="O12" s="183"/>
      <c r="P12" s="184"/>
      <c r="Q12" s="63" t="b">
        <v>0</v>
      </c>
    </row>
    <row r="13" spans="1:17" ht="37.5" customHeight="1" x14ac:dyDescent="0.25">
      <c r="B13" s="8"/>
      <c r="C13" s="8"/>
      <c r="D13" s="8"/>
      <c r="E13" s="8"/>
      <c r="F13" s="8"/>
      <c r="G13" s="8"/>
      <c r="H13" s="8"/>
      <c r="I13" s="8"/>
      <c r="K13" s="149"/>
      <c r="M13" s="187"/>
      <c r="N13" s="188"/>
      <c r="O13" s="188"/>
      <c r="P13" s="189"/>
      <c r="Q13" s="63" t="b">
        <v>0</v>
      </c>
    </row>
    <row r="14" spans="1:17" ht="18.75" customHeight="1" x14ac:dyDescent="0.25">
      <c r="B14" s="8"/>
      <c r="C14" s="8"/>
      <c r="D14" s="8"/>
      <c r="E14" s="8"/>
      <c r="F14" s="8"/>
      <c r="G14" s="8"/>
      <c r="H14" s="8"/>
      <c r="I14" s="8"/>
      <c r="K14" s="11"/>
      <c r="M14" s="175" t="str">
        <f>IF(OR(Q3:Q15,Q16)=TRUE,"","Legalább alapfokú iskolai végzettség igazolása")</f>
        <v>Legalább alapfokú iskolai végzettség igazolása</v>
      </c>
      <c r="N14" s="175"/>
      <c r="O14" s="175"/>
      <c r="P14" s="175"/>
      <c r="Q14" s="63" t="b">
        <v>0</v>
      </c>
    </row>
    <row r="15" spans="1:17" ht="18.75" customHeight="1" x14ac:dyDescent="0.25">
      <c r="B15" s="8"/>
      <c r="C15" s="8"/>
      <c r="D15" s="8"/>
      <c r="E15" s="8"/>
      <c r="F15" s="8"/>
      <c r="G15" s="8"/>
      <c r="H15" s="8"/>
      <c r="I15" s="8"/>
      <c r="K15" s="11"/>
      <c r="M15" s="175"/>
      <c r="N15" s="175"/>
      <c r="O15" s="175"/>
      <c r="P15" s="175"/>
      <c r="Q15" s="63" t="b">
        <v>0</v>
      </c>
    </row>
    <row r="16" spans="1:17" ht="18.75" customHeight="1" x14ac:dyDescent="0.25">
      <c r="B16" s="8"/>
      <c r="C16" s="8"/>
      <c r="D16" s="8"/>
      <c r="E16" s="8"/>
      <c r="F16" s="8"/>
      <c r="G16" s="8"/>
      <c r="H16" s="8"/>
      <c r="I16" s="8"/>
      <c r="K16" s="11"/>
      <c r="M16" s="175"/>
      <c r="N16" s="175"/>
      <c r="O16" s="175"/>
      <c r="P16" s="175"/>
      <c r="Q16" s="63" t="b">
        <v>0</v>
      </c>
    </row>
    <row r="17" spans="2:17" ht="15" customHeight="1" x14ac:dyDescent="0.25">
      <c r="M17" s="175"/>
      <c r="N17" s="175"/>
      <c r="O17" s="175"/>
      <c r="P17" s="175"/>
      <c r="Q17" s="61"/>
    </row>
    <row r="18" spans="2:17" x14ac:dyDescent="0.25">
      <c r="B18" s="158" t="s">
        <v>13</v>
      </c>
      <c r="C18" s="158"/>
      <c r="D18" s="158"/>
      <c r="E18" s="158"/>
      <c r="F18" s="158"/>
      <c r="G18" s="158"/>
      <c r="H18" s="158"/>
      <c r="I18" s="158"/>
      <c r="K18" s="1" t="s">
        <v>89</v>
      </c>
    </row>
    <row r="19" spans="2:17" s="2" customFormat="1" ht="111" customHeight="1" x14ac:dyDescent="0.25">
      <c r="B19" s="3" t="s">
        <v>19</v>
      </c>
      <c r="C19" s="3" t="s">
        <v>24</v>
      </c>
      <c r="D19" s="3" t="s">
        <v>21</v>
      </c>
      <c r="E19" s="3" t="s">
        <v>2</v>
      </c>
      <c r="F19" s="3" t="s">
        <v>87</v>
      </c>
      <c r="G19" s="3" t="s">
        <v>3</v>
      </c>
      <c r="H19" s="3" t="s">
        <v>14</v>
      </c>
      <c r="I19" s="3" t="s">
        <v>5</v>
      </c>
      <c r="J19" s="3" t="s">
        <v>84</v>
      </c>
      <c r="K19" s="10">
        <f>SUM(B21:J21)</f>
        <v>110400</v>
      </c>
      <c r="L19"/>
      <c r="M19" s="171" t="str">
        <f>IF(Q12=TRUE,"Hajózási szakképzésben szerzett képesítő bizonyítványként azt a képesítő okmányt lehet elfogadni, amelyet olyan oktatási intézmény adott ki, amelynek tanterve a hajózási hatóság által jóváhagyott szakmai oktatási programot tartalmazza","")</f>
        <v/>
      </c>
      <c r="N19" s="171"/>
      <c r="O19" s="171"/>
      <c r="P19" s="171"/>
    </row>
    <row r="20" spans="2:17" s="2" customFormat="1" ht="15.75" customHeight="1" x14ac:dyDescent="0.25">
      <c r="B20" s="101" t="str">
        <f>IF(B21=0,"Felmentés",IF(OR($Q$16,$Q$12)=TRUE,"Felmentés/vizsga","Vizsga"))</f>
        <v>Vizsga</v>
      </c>
      <c r="C20" s="101" t="str">
        <f t="shared" ref="C20:H20" si="1">IF(C21=0,"Felmentés",IF(OR($Q$16,$Q$12)=TRUE,"Felmentés/vizsga","Vizsga"))</f>
        <v>Vizsga</v>
      </c>
      <c r="D20" s="101" t="str">
        <f t="shared" si="1"/>
        <v>Vizsga</v>
      </c>
      <c r="E20" s="101" t="str">
        <f t="shared" si="1"/>
        <v>Vizsga</v>
      </c>
      <c r="F20" s="101" t="str">
        <f t="shared" si="1"/>
        <v>Vizsga</v>
      </c>
      <c r="G20" s="101" t="str">
        <f t="shared" si="1"/>
        <v>Vizsga</v>
      </c>
      <c r="H20" s="101" t="str">
        <f t="shared" si="1"/>
        <v>Vizsga</v>
      </c>
      <c r="I20" s="101" t="str">
        <f t="shared" ref="I20" si="2">IF(I21&lt;&gt;0,"Vizsga","Felmentés")</f>
        <v>Vizsga</v>
      </c>
      <c r="J20" s="42" t="s">
        <v>85</v>
      </c>
      <c r="M20" s="191" t="s">
        <v>39</v>
      </c>
      <c r="N20" s="191"/>
      <c r="O20" s="191"/>
      <c r="P20" s="191"/>
    </row>
    <row r="21" spans="2:17" s="1" customFormat="1" x14ac:dyDescent="0.25">
      <c r="B21" s="4">
        <f>IF(OR($Q$3,Q9,Q4,Q8,Q11,Q15)=TRUE,0,KEZDŐLAP!F25)</f>
        <v>10800</v>
      </c>
      <c r="C21" s="4">
        <f>IF(OR($Q$3,Q9,Q4,Q8,Q11,Q15)=TRUE,0,KEZDŐLAP!F25)</f>
        <v>10800</v>
      </c>
      <c r="D21" s="4">
        <f>IF(OR($Q$3,Q9,Q5,Q7,Q8,Q14,Q15)=TRUE,0,KEZDŐLAP!F25)</f>
        <v>10800</v>
      </c>
      <c r="E21" s="4">
        <f>IF(OR($Q$3,Q7,Q5,Q9,Q13,Q11,Q14,Q15)=TRUE,0,KEZDŐLAP!F25)</f>
        <v>10800</v>
      </c>
      <c r="F21" s="4">
        <f>IF(OR($Q$3,Q9,Q11,Q15)=TRUE,0,KEZDŐLAP!F25)</f>
        <v>10800</v>
      </c>
      <c r="G21" s="4">
        <f>IF(OR($Q$3,Q9,Q13,Q8,Q10,Q11,Q14,Q4,Q15)=TRUE,0,KEZDŐLAP!F25)</f>
        <v>10800</v>
      </c>
      <c r="H21" s="4">
        <f>IF(OR($Q$7,Q15)=TRUE,0,KEZDŐLAP!F25)</f>
        <v>10800</v>
      </c>
      <c r="I21" s="4">
        <f>IF(Q15=TRUE,0,KEZDŐLAP!F29)</f>
        <v>28300</v>
      </c>
      <c r="J21" s="41">
        <f>KEZDŐLAP!F30</f>
        <v>6500</v>
      </c>
      <c r="L21" s="2"/>
      <c r="M21" s="191"/>
      <c r="N21" s="191"/>
      <c r="O21" s="191"/>
      <c r="P21" s="191"/>
    </row>
    <row r="22" spans="2:17" x14ac:dyDescent="0.25">
      <c r="G22" s="44" t="s">
        <v>86</v>
      </c>
      <c r="H22" s="44"/>
      <c r="I22" s="4">
        <f>SUM(B21:I21)</f>
        <v>103900</v>
      </c>
      <c r="M22" s="191"/>
      <c r="N22" s="191"/>
      <c r="O22" s="191"/>
      <c r="P22" s="191"/>
    </row>
    <row r="23" spans="2:17" x14ac:dyDescent="0.25">
      <c r="M23" s="191"/>
      <c r="N23" s="191"/>
      <c r="O23" s="191"/>
      <c r="P23" s="191"/>
    </row>
    <row r="24" spans="2:17" x14ac:dyDescent="0.25">
      <c r="M24" s="191"/>
      <c r="N24" s="191"/>
      <c r="O24" s="191"/>
      <c r="P24" s="191"/>
    </row>
    <row r="25" spans="2:17" x14ac:dyDescent="0.25">
      <c r="M25" s="17"/>
      <c r="N25" s="17"/>
      <c r="O25" s="17"/>
      <c r="P25" s="17"/>
    </row>
    <row r="26" spans="2:17" x14ac:dyDescent="0.25">
      <c r="M26" s="17"/>
      <c r="N26" s="17"/>
      <c r="O26" s="17"/>
      <c r="P26" s="17"/>
    </row>
    <row r="27" spans="2:17" x14ac:dyDescent="0.25">
      <c r="M27" s="17"/>
      <c r="N27" s="17"/>
      <c r="O27" s="17"/>
      <c r="P27" s="17"/>
    </row>
  </sheetData>
  <sheetProtection sheet="1" selectLockedCells="1"/>
  <protectedRanges>
    <protectedRange password="EFFA" sqref="Q3:Q16 I2:Q2 A17:A18 B3:G18 B1:P1 K19:L21 H18:J18 L18:P18 H3:L17 N3:P17 M3:M12 M14:M17 A19:I21" name="Tartomány1"/>
    <protectedRange password="EFFA" sqref="A1" name="Tartomány1_3"/>
    <protectedRange password="EFFA" sqref="B2:H2" name="Tartomány1_4"/>
    <protectedRange password="EFFA" sqref="J19:J21" name="Tartomány1_2"/>
    <protectedRange password="EFFA" sqref="K18" name="Tartomány1_6"/>
    <protectedRange password="EFFA" sqref="N19:P21 M19 M21" name="Tartomány1_2_1"/>
  </protectedRanges>
  <mergeCells count="16">
    <mergeCell ref="M19:P19"/>
    <mergeCell ref="M20:P24"/>
    <mergeCell ref="B18:I18"/>
    <mergeCell ref="M14:P17"/>
    <mergeCell ref="B1:I1"/>
    <mergeCell ref="M1:P1"/>
    <mergeCell ref="K3:K13"/>
    <mergeCell ref="M3:P3"/>
    <mergeCell ref="M4:P4"/>
    <mergeCell ref="M5:P6"/>
    <mergeCell ref="M9:P10"/>
    <mergeCell ref="M11:P11"/>
    <mergeCell ref="M7:P7"/>
    <mergeCell ref="M8:P8"/>
    <mergeCell ref="B2:H2"/>
    <mergeCell ref="M12:P13"/>
  </mergeCells>
  <conditionalFormatting sqref="B20:I20">
    <cfRule type="containsText" dxfId="77" priority="1" operator="containsText" text="Vizsga">
      <formula>NOT(ISERROR(SEARCH("Vizsga",B20)))</formula>
    </cfRule>
    <cfRule type="containsText" dxfId="76" priority="2" operator="containsText" text="&quot;Vizsga&quot;">
      <formula>NOT(ISERROR(SEARCH("""Vizsga""",B20)))</formula>
    </cfRule>
  </conditionalFormatting>
  <hyperlinks>
    <hyperlink ref="A1" location="KEZDŐLAP!A1" display="X" xr:uid="{00000000-0004-0000-0400-000000000000}"/>
  </hyperlinks>
  <pageMargins left="0.7" right="0.7" top="0.75" bottom="0.75" header="0.3" footer="0.3"/>
  <pageSetup paperSize="9"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</xdr:col>
                    <xdr:colOff>438150</xdr:colOff>
                    <xdr:row>3</xdr:row>
                    <xdr:rowOff>209550</xdr:rowOff>
                  </from>
                  <to>
                    <xdr:col>6</xdr:col>
                    <xdr:colOff>428625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</xdr:col>
                    <xdr:colOff>438150</xdr:colOff>
                    <xdr:row>8</xdr:row>
                    <xdr:rowOff>9525</xdr:rowOff>
                  </from>
                  <to>
                    <xdr:col>5</xdr:col>
                    <xdr:colOff>66675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1</xdr:col>
                    <xdr:colOff>438150</xdr:colOff>
                    <xdr:row>10</xdr:row>
                    <xdr:rowOff>228600</xdr:rowOff>
                  </from>
                  <to>
                    <xdr:col>7</xdr:col>
                    <xdr:colOff>257175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1</xdr:col>
                    <xdr:colOff>438150</xdr:colOff>
                    <xdr:row>2</xdr:row>
                    <xdr:rowOff>0</xdr:rowOff>
                  </from>
                  <to>
                    <xdr:col>7</xdr:col>
                    <xdr:colOff>266700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1</xdr:col>
                    <xdr:colOff>438150</xdr:colOff>
                    <xdr:row>13</xdr:row>
                    <xdr:rowOff>180975</xdr:rowOff>
                  </from>
                  <to>
                    <xdr:col>5</xdr:col>
                    <xdr:colOff>180975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9" name="Check Box 8">
              <controlPr locked="0" defaultSize="0" autoFill="0" autoLine="0" autoPict="0">
                <anchor moveWithCells="1">
                  <from>
                    <xdr:col>1</xdr:col>
                    <xdr:colOff>438150</xdr:colOff>
                    <xdr:row>5</xdr:row>
                    <xdr:rowOff>238125</xdr:rowOff>
                  </from>
                  <to>
                    <xdr:col>6</xdr:col>
                    <xdr:colOff>428625</xdr:colOff>
                    <xdr:row>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0" name="Check Box 9">
              <controlPr defaultSize="0" autoFill="0" autoLine="0" autoPict="0">
                <anchor moveWithCells="1">
                  <from>
                    <xdr:col>1</xdr:col>
                    <xdr:colOff>438150</xdr:colOff>
                    <xdr:row>4</xdr:row>
                    <xdr:rowOff>219075</xdr:rowOff>
                  </from>
                  <to>
                    <xdr:col>6</xdr:col>
                    <xdr:colOff>428625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1" name="Check Box 12">
              <controlPr defaultSize="0" autoFill="0" autoLine="0" autoPict="0">
                <anchor moveWithCells="1">
                  <from>
                    <xdr:col>1</xdr:col>
                    <xdr:colOff>438150</xdr:colOff>
                    <xdr:row>2</xdr:row>
                    <xdr:rowOff>190500</xdr:rowOff>
                  </from>
                  <to>
                    <xdr:col>6</xdr:col>
                    <xdr:colOff>428625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2" name="Check Box 13">
              <controlPr defaultSize="0" autoFill="0" autoLine="0" autoPict="0">
                <anchor moveWithCells="1">
                  <from>
                    <xdr:col>1</xdr:col>
                    <xdr:colOff>438150</xdr:colOff>
                    <xdr:row>7</xdr:row>
                    <xdr:rowOff>9525</xdr:rowOff>
                  </from>
                  <to>
                    <xdr:col>5</xdr:col>
                    <xdr:colOff>66675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3" name="Check Box 15">
              <controlPr defaultSize="0" autoFill="0" autoLine="0" autoPict="0">
                <anchor moveWithCells="1">
                  <from>
                    <xdr:col>1</xdr:col>
                    <xdr:colOff>438150</xdr:colOff>
                    <xdr:row>9</xdr:row>
                    <xdr:rowOff>0</xdr:rowOff>
                  </from>
                  <to>
                    <xdr:col>5</xdr:col>
                    <xdr:colOff>66675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4" name="Check Box 16">
              <controlPr defaultSize="0" autoFill="0" autoLine="0" autoPict="0">
                <anchor moveWithCells="1">
                  <from>
                    <xdr:col>1</xdr:col>
                    <xdr:colOff>438150</xdr:colOff>
                    <xdr:row>9</xdr:row>
                    <xdr:rowOff>238125</xdr:rowOff>
                  </from>
                  <to>
                    <xdr:col>5</xdr:col>
                    <xdr:colOff>66675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5" name="Check Box 17">
              <controlPr defaultSize="0" autoFill="0" autoLine="0" autoPict="0">
                <anchor moveWithCells="1">
                  <from>
                    <xdr:col>1</xdr:col>
                    <xdr:colOff>438150</xdr:colOff>
                    <xdr:row>14</xdr:row>
                    <xdr:rowOff>161925</xdr:rowOff>
                  </from>
                  <to>
                    <xdr:col>5</xdr:col>
                    <xdr:colOff>66675</xdr:colOff>
                    <xdr:row>15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16" name="Check Box 18">
              <controlPr defaultSize="0" autoFill="0" autoLine="0" autoPict="0">
                <anchor moveWithCells="1">
                  <from>
                    <xdr:col>1</xdr:col>
                    <xdr:colOff>438150</xdr:colOff>
                    <xdr:row>12</xdr:row>
                    <xdr:rowOff>352425</xdr:rowOff>
                  </from>
                  <to>
                    <xdr:col>7</xdr:col>
                    <xdr:colOff>257175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17" name="Check Box 19">
              <controlPr defaultSize="0" autoFill="0" autoLine="0" autoPict="0">
                <anchor moveWithCells="1">
                  <from>
                    <xdr:col>1</xdr:col>
                    <xdr:colOff>438150</xdr:colOff>
                    <xdr:row>12</xdr:row>
                    <xdr:rowOff>57150</xdr:rowOff>
                  </from>
                  <to>
                    <xdr:col>8</xdr:col>
                    <xdr:colOff>533400</xdr:colOff>
                    <xdr:row>12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Munka7">
    <tabColor rgb="FF00B0F0"/>
  </sheetPr>
  <dimension ref="A1:Q22"/>
  <sheetViews>
    <sheetView workbookViewId="0"/>
  </sheetViews>
  <sheetFormatPr defaultRowHeight="15" x14ac:dyDescent="0.25"/>
  <cols>
    <col min="1" max="1" width="3.42578125" customWidth="1"/>
    <col min="2" max="7" width="16.5703125" customWidth="1"/>
    <col min="8" max="9" width="14.5703125" customWidth="1"/>
    <col min="10" max="10" width="3.140625" customWidth="1"/>
    <col min="11" max="11" width="31.7109375" customWidth="1"/>
    <col min="12" max="12" width="3.140625" customWidth="1"/>
    <col min="13" max="16" width="14.28515625" customWidth="1"/>
    <col min="17" max="17" width="1.42578125" customWidth="1"/>
  </cols>
  <sheetData>
    <row r="1" spans="1:17" x14ac:dyDescent="0.25">
      <c r="A1" s="26" t="s">
        <v>43</v>
      </c>
      <c r="B1" s="147" t="s">
        <v>17</v>
      </c>
      <c r="C1" s="147"/>
      <c r="D1" s="147"/>
      <c r="E1" s="147"/>
      <c r="F1" s="147"/>
      <c r="G1" s="147"/>
      <c r="H1" s="147"/>
      <c r="I1" s="147"/>
      <c r="K1" s="5" t="s">
        <v>1</v>
      </c>
      <c r="M1" s="147" t="s">
        <v>6</v>
      </c>
      <c r="N1" s="147"/>
      <c r="O1" s="147"/>
      <c r="P1" s="147"/>
    </row>
    <row r="2" spans="1:17" ht="15.75" customHeight="1" x14ac:dyDescent="0.25">
      <c r="B2" s="176" t="s">
        <v>61</v>
      </c>
      <c r="C2" s="176"/>
      <c r="D2" s="176"/>
      <c r="E2" s="176"/>
      <c r="F2" s="176"/>
      <c r="G2" s="176"/>
      <c r="H2" s="176"/>
      <c r="I2" s="176"/>
      <c r="K2" s="1"/>
    </row>
    <row r="3" spans="1:17" ht="21" customHeight="1" x14ac:dyDescent="0.25">
      <c r="B3" s="8"/>
      <c r="C3" s="8"/>
      <c r="D3" s="8"/>
      <c r="E3" s="8"/>
      <c r="F3" s="8"/>
      <c r="G3" s="8"/>
      <c r="H3" s="8"/>
      <c r="I3" s="8"/>
      <c r="K3" s="149" t="s">
        <v>18</v>
      </c>
      <c r="M3" s="150" t="str">
        <f>IF(G17&gt;0=TRUE,"Írásos vizsgajelentkezési/felmentési kérelem","Okmányigénylés")</f>
        <v>Okmányigénylés</v>
      </c>
      <c r="N3" s="150"/>
      <c r="O3" s="150"/>
      <c r="P3" s="150"/>
      <c r="Q3" s="64" t="b">
        <v>0</v>
      </c>
    </row>
    <row r="4" spans="1:17" ht="21" customHeight="1" x14ac:dyDescent="0.25">
      <c r="B4" s="8"/>
      <c r="C4" s="8"/>
      <c r="D4" s="8"/>
      <c r="E4" s="8"/>
      <c r="F4" s="8"/>
      <c r="G4" s="8"/>
      <c r="H4" s="8"/>
      <c r="I4" s="8"/>
      <c r="K4" s="149"/>
      <c r="M4" s="151" t="s">
        <v>7</v>
      </c>
      <c r="N4" s="151"/>
      <c r="O4" s="151"/>
      <c r="P4" s="151"/>
      <c r="Q4" s="64" t="b">
        <v>1</v>
      </c>
    </row>
    <row r="5" spans="1:17" ht="21" customHeight="1" x14ac:dyDescent="0.25">
      <c r="B5" s="8"/>
      <c r="C5" s="8"/>
      <c r="D5" s="8"/>
      <c r="E5" s="8"/>
      <c r="F5" s="8"/>
      <c r="G5" s="8"/>
      <c r="H5" s="8"/>
      <c r="I5" s="8"/>
      <c r="K5" s="149"/>
      <c r="M5" s="150" t="s">
        <v>8</v>
      </c>
      <c r="N5" s="150"/>
      <c r="O5" s="150"/>
      <c r="P5" s="150"/>
      <c r="Q5" s="64" t="b">
        <v>0</v>
      </c>
    </row>
    <row r="6" spans="1:17" ht="21" customHeight="1" x14ac:dyDescent="0.25">
      <c r="B6" s="8"/>
      <c r="C6" s="8"/>
      <c r="D6" s="8"/>
      <c r="E6" s="8"/>
      <c r="F6" s="8"/>
      <c r="G6" s="8"/>
      <c r="H6" s="8"/>
      <c r="I6" s="8"/>
      <c r="K6" s="149"/>
      <c r="M6" s="150"/>
      <c r="N6" s="150"/>
      <c r="O6" s="150"/>
      <c r="P6" s="150"/>
      <c r="Q6" s="64" t="b">
        <v>0</v>
      </c>
    </row>
    <row r="7" spans="1:17" ht="21" customHeight="1" x14ac:dyDescent="0.25">
      <c r="B7" s="8"/>
      <c r="C7" s="8"/>
      <c r="D7" s="8"/>
      <c r="E7" s="8"/>
      <c r="F7" s="8"/>
      <c r="G7" s="8"/>
      <c r="H7" s="8"/>
      <c r="I7" s="8"/>
      <c r="K7" s="149"/>
      <c r="M7" s="175" t="str">
        <f>IF(G17=0,"","Jóváhagyott úszómunkagép-vezetői képzés igazolt elvégzése")</f>
        <v/>
      </c>
      <c r="N7" s="175" t="str">
        <f t="shared" ref="N7:P8" si="0">IF($Q$10=TRUE,"Hajózási technikusi, vagy hajózási főiskolai oklevél bemutatása","A vizsgatárgyakat tartalmazó képzésen való részvétel igazolása")</f>
        <v>A vizsgatárgyakat tartalmazó képzésen való részvétel igazolása</v>
      </c>
      <c r="O7" s="175" t="str">
        <f t="shared" si="0"/>
        <v>A vizsgatárgyakat tartalmazó képzésen való részvétel igazolása</v>
      </c>
      <c r="P7" s="175" t="str">
        <f t="shared" si="0"/>
        <v>A vizsgatárgyakat tartalmazó képzésen való részvétel igazolása</v>
      </c>
      <c r="Q7" s="64" t="b">
        <v>0</v>
      </c>
    </row>
    <row r="8" spans="1:17" ht="21" customHeight="1" x14ac:dyDescent="0.25">
      <c r="B8" s="8"/>
      <c r="C8" s="8"/>
      <c r="D8" s="8"/>
      <c r="E8" s="8"/>
      <c r="F8" s="8"/>
      <c r="G8" s="8"/>
      <c r="H8" s="8"/>
      <c r="I8" s="8"/>
      <c r="K8" s="149"/>
      <c r="M8" s="175" t="str">
        <f>IF($Q$10=TRUE,"Hajózási technikusi, vagy hajózási főiskolai oklevél bemutatása","A vizsgatárgyakat tartalmazó képzésen való részvétel igazolása")</f>
        <v>A vizsgatárgyakat tartalmazó képzésen való részvétel igazolása</v>
      </c>
      <c r="N8" s="175" t="str">
        <f t="shared" si="0"/>
        <v>A vizsgatárgyakat tartalmazó képzésen való részvétel igazolása</v>
      </c>
      <c r="O8" s="175" t="str">
        <f t="shared" si="0"/>
        <v>A vizsgatárgyakat tartalmazó képzésen való részvétel igazolása</v>
      </c>
      <c r="P8" s="175" t="str">
        <f t="shared" si="0"/>
        <v>A vizsgatárgyakat tartalmazó képzésen való részvétel igazolása</v>
      </c>
      <c r="Q8" s="64" t="b">
        <v>0</v>
      </c>
    </row>
    <row r="9" spans="1:17" ht="21" customHeight="1" x14ac:dyDescent="0.25">
      <c r="B9" s="8"/>
      <c r="C9" s="8"/>
      <c r="D9" s="8"/>
      <c r="E9" s="8"/>
      <c r="F9" s="8"/>
      <c r="G9" s="8"/>
      <c r="H9" s="8"/>
      <c r="I9" s="8"/>
      <c r="J9" s="9"/>
      <c r="K9" s="149"/>
      <c r="M9" s="151" t="s">
        <v>110</v>
      </c>
      <c r="N9" s="151"/>
      <c r="O9" s="151"/>
      <c r="P9" s="151"/>
      <c r="Q9" s="64" t="b">
        <v>0</v>
      </c>
    </row>
    <row r="10" spans="1:17" ht="30" customHeight="1" x14ac:dyDescent="0.25">
      <c r="B10" s="8"/>
      <c r="C10" s="8"/>
      <c r="D10" s="8"/>
      <c r="E10" s="8"/>
      <c r="F10" s="8"/>
      <c r="G10" s="8"/>
      <c r="H10" s="8"/>
      <c r="I10" s="8"/>
      <c r="K10" s="149"/>
      <c r="M10" s="150" t="str">
        <f>IF(OR(Q3,Q10)=TRUE,"Felmentési kérelemhez: képesítő okmány, vizsgajegyzőkönyv, leckekönyv vagy tanterv","")</f>
        <v/>
      </c>
      <c r="N10" s="150"/>
      <c r="O10" s="150"/>
      <c r="P10" s="150"/>
      <c r="Q10" s="64" t="b">
        <v>0</v>
      </c>
    </row>
    <row r="11" spans="1:17" ht="21" customHeight="1" x14ac:dyDescent="0.25">
      <c r="B11" s="8"/>
      <c r="C11" s="8"/>
      <c r="D11" s="8"/>
      <c r="E11" s="8"/>
      <c r="F11" s="8"/>
      <c r="G11" s="8"/>
      <c r="H11" s="8"/>
      <c r="I11" s="8"/>
      <c r="K11" s="149"/>
      <c r="M11" s="151" t="s">
        <v>33</v>
      </c>
      <c r="N11" s="151"/>
      <c r="O11" s="151"/>
      <c r="P11" s="151"/>
      <c r="Q11" s="64"/>
    </row>
    <row r="12" spans="1:17" ht="21" customHeight="1" x14ac:dyDescent="0.25">
      <c r="M12" s="182" t="str">
        <f>IF(Q10=TRUE,"Hajózási szakképzésben szerzett képesítő bizonyítvány bemutatása",IF(OR(Q3:Q10)=TRUE,"","Legalább alapfokú iskolai végzettség igazolása"))</f>
        <v/>
      </c>
      <c r="N12" s="183"/>
      <c r="O12" s="183"/>
      <c r="P12" s="184"/>
      <c r="Q12" s="64" t="b">
        <v>0</v>
      </c>
    </row>
    <row r="13" spans="1:17" x14ac:dyDescent="0.25">
      <c r="B13" s="158" t="s">
        <v>13</v>
      </c>
      <c r="C13" s="158"/>
      <c r="D13" s="158"/>
      <c r="E13" s="158"/>
      <c r="F13" s="158"/>
      <c r="G13" s="158"/>
      <c r="K13" s="1" t="s">
        <v>89</v>
      </c>
      <c r="M13" s="187"/>
      <c r="N13" s="188"/>
      <c r="O13" s="188"/>
      <c r="P13" s="189"/>
      <c r="Q13" s="8"/>
    </row>
    <row r="14" spans="1:17" s="2" customFormat="1" ht="116.25" customHeight="1" x14ac:dyDescent="0.25">
      <c r="B14" s="12" t="s">
        <v>22</v>
      </c>
      <c r="C14" s="12" t="s">
        <v>23</v>
      </c>
      <c r="D14" s="12" t="s">
        <v>21</v>
      </c>
      <c r="E14" s="12" t="s">
        <v>2</v>
      </c>
      <c r="F14" s="12" t="s">
        <v>3</v>
      </c>
      <c r="G14" s="12" t="s">
        <v>4</v>
      </c>
      <c r="H14" s="3" t="s">
        <v>84</v>
      </c>
      <c r="K14" s="10">
        <f>SUM(B16:H16)</f>
        <v>6500</v>
      </c>
      <c r="L14"/>
      <c r="M14" s="159" t="str">
        <f>IF(Q10=TRUE,"Hajózási szakképzésben szerzett képesítő bizonyítványként azt a képesítő okmányt lehet elfogadni, amelyet olyan oktatási intézmény adott ki, amelynek tanterve a hajózási hatóság által jóváhagyott szakmai oktatási programot tartalmazza","")</f>
        <v/>
      </c>
      <c r="N14" s="159"/>
      <c r="O14" s="159"/>
      <c r="P14" s="159"/>
    </row>
    <row r="15" spans="1:17" s="2" customFormat="1" ht="15.75" customHeight="1" x14ac:dyDescent="0.25">
      <c r="B15" s="101" t="str">
        <f>IF(B16=0,"Felmentés",IF(OR($Q$3,$Q$10)=TRUE,"Felmentés/vizsga","Vizsga"))</f>
        <v>Felmentés</v>
      </c>
      <c r="C15" s="101" t="str">
        <f t="shared" ref="C15:G15" si="1">IF(C16=0,"Felmentés",IF(OR($Q$3,$Q$10)=TRUE,"Felmentés/vizsga","Vizsga"))</f>
        <v>Felmentés</v>
      </c>
      <c r="D15" s="101" t="str">
        <f t="shared" si="1"/>
        <v>Felmentés</v>
      </c>
      <c r="E15" s="101" t="str">
        <f t="shared" si="1"/>
        <v>Felmentés</v>
      </c>
      <c r="F15" s="101" t="str">
        <f t="shared" si="1"/>
        <v>Felmentés</v>
      </c>
      <c r="G15" s="101" t="str">
        <f t="shared" si="1"/>
        <v>Felmentés</v>
      </c>
      <c r="H15" s="42" t="s">
        <v>85</v>
      </c>
      <c r="M15" s="171" t="s">
        <v>39</v>
      </c>
      <c r="N15" s="171"/>
      <c r="O15" s="171"/>
      <c r="P15" s="171"/>
    </row>
    <row r="16" spans="1:17" s="1" customFormat="1" x14ac:dyDescent="0.25">
      <c r="B16" s="4">
        <f>IF($Q$4=TRUE,0,IF(Q5=TRUE,0,IF(Q7=TRUE,0,IF(Q9=TRUE,0,KEZDŐLAP!F25))))</f>
        <v>0</v>
      </c>
      <c r="C16" s="4">
        <f>IF($Q$4=TRUE,0,IF($Q$5=TRUE,0,IF(Q7=TRUE,0,IF(Q9=TRUE,0,KEZDŐLAP!F26))))</f>
        <v>0</v>
      </c>
      <c r="D16" s="4">
        <f>IF($Q$4=TRUE,0,IF($Q$6=TRUE,0,IF(Q7=TRUE,0,KEZDŐLAP!F25)))</f>
        <v>0</v>
      </c>
      <c r="E16" s="4">
        <f>IF($Q$4=TRUE,0,IF($Q$6=TRUE,0,IF($Q$12=TRUE,0,IF(Q9=TRUE,0,KEZDŐLAP!F25))))</f>
        <v>0</v>
      </c>
      <c r="F16" s="4">
        <f>IF(OR($Q$4,Q8,Q12,Q7,Q9,Q5)=TRUE,0,KEZDŐLAP!F25)</f>
        <v>0</v>
      </c>
      <c r="G16" s="4">
        <f>IF($Q$4=TRUE,0,IF(Q7=TRUE,0,IF(Q9=TRUE,0,KEZDŐLAP!F26)))</f>
        <v>0</v>
      </c>
      <c r="H16" s="41">
        <f>KEZDŐLAP!F30</f>
        <v>6500</v>
      </c>
      <c r="J16" s="2"/>
      <c r="K16" s="2"/>
      <c r="L16" s="2"/>
      <c r="M16" s="171"/>
      <c r="N16" s="171"/>
      <c r="O16" s="171"/>
      <c r="P16" s="171"/>
    </row>
    <row r="17" spans="2:16" x14ac:dyDescent="0.25">
      <c r="E17" s="192" t="s">
        <v>86</v>
      </c>
      <c r="F17" s="193"/>
      <c r="G17" s="33">
        <f>SUM(B16:G16)</f>
        <v>0</v>
      </c>
      <c r="M17" s="171"/>
      <c r="N17" s="171"/>
      <c r="O17" s="171"/>
      <c r="P17" s="171"/>
    </row>
    <row r="18" spans="2:16" x14ac:dyDescent="0.25">
      <c r="M18" s="171"/>
      <c r="N18" s="171"/>
      <c r="O18" s="171"/>
      <c r="P18" s="171"/>
    </row>
    <row r="19" spans="2:16" x14ac:dyDescent="0.25">
      <c r="B19" s="191" t="s">
        <v>226</v>
      </c>
      <c r="C19" s="191"/>
      <c r="D19" s="191"/>
      <c r="E19" s="191"/>
      <c r="F19" s="191"/>
      <c r="G19" s="191"/>
      <c r="H19" s="191"/>
      <c r="I19" s="191"/>
      <c r="M19" s="171"/>
      <c r="N19" s="171"/>
      <c r="O19" s="171"/>
      <c r="P19" s="171"/>
    </row>
    <row r="20" spans="2:16" x14ac:dyDescent="0.25">
      <c r="B20" s="191"/>
      <c r="C20" s="191"/>
      <c r="D20" s="191"/>
      <c r="E20" s="191"/>
      <c r="F20" s="191"/>
      <c r="G20" s="191"/>
      <c r="H20" s="191"/>
      <c r="I20" s="191"/>
      <c r="M20" s="17"/>
      <c r="N20" s="17"/>
      <c r="O20" s="17"/>
      <c r="P20" s="17"/>
    </row>
    <row r="21" spans="2:16" x14ac:dyDescent="0.25">
      <c r="M21" s="17"/>
      <c r="N21" s="17"/>
      <c r="O21" s="17"/>
      <c r="P21" s="17"/>
    </row>
    <row r="22" spans="2:16" x14ac:dyDescent="0.25">
      <c r="M22" s="17"/>
      <c r="N22" s="17"/>
      <c r="O22" s="17"/>
      <c r="P22" s="17"/>
    </row>
  </sheetData>
  <sheetProtection sheet="1" selectLockedCells="1"/>
  <protectedRanges>
    <protectedRange password="EFFA" sqref="F14:G14 I15:L16 F12:P12 F11:L11 K14:L14 B1:P1 Q3:Q12 F3:P10 J2:P2 A12:A16 F13:J13 L13:P13 B3:E14 B15:G16" name="Tartomány1"/>
    <protectedRange password="EFFA" sqref="M11:P11" name="Tartomány1_1"/>
    <protectedRange password="EFFA" sqref="A1" name="Tartomány1_3"/>
    <protectedRange password="EFFA" sqref="B2:I2" name="Tartomány1_4"/>
    <protectedRange password="EFFA" sqref="H14:H16" name="Tartomány1_2"/>
    <protectedRange password="EFFA" sqref="K13" name="Tartomány1_6"/>
    <protectedRange password="EFFA" sqref="N14:P16 M14 M16" name="Tartomány1_2_1"/>
  </protectedRanges>
  <mergeCells count="17">
    <mergeCell ref="M14:P14"/>
    <mergeCell ref="B19:I20"/>
    <mergeCell ref="M15:P19"/>
    <mergeCell ref="E17:F17"/>
    <mergeCell ref="B13:G13"/>
    <mergeCell ref="M12:P13"/>
    <mergeCell ref="B1:I1"/>
    <mergeCell ref="M1:P1"/>
    <mergeCell ref="K3:K11"/>
    <mergeCell ref="M3:P3"/>
    <mergeCell ref="M4:P4"/>
    <mergeCell ref="M5:P6"/>
    <mergeCell ref="M7:P8"/>
    <mergeCell ref="M9:P9"/>
    <mergeCell ref="M10:P10"/>
    <mergeCell ref="M11:P11"/>
    <mergeCell ref="B2:I2"/>
  </mergeCells>
  <conditionalFormatting sqref="B15:G15">
    <cfRule type="containsText" dxfId="75" priority="1" operator="containsText" text="Vizsga">
      <formula>NOT(ISERROR(SEARCH("Vizsga",B15)))</formula>
    </cfRule>
    <cfRule type="containsText" dxfId="74" priority="2" operator="containsText" text="&quot;Vizsga&quot;">
      <formula>NOT(ISERROR(SEARCH("""Vizsga""",B15)))</formula>
    </cfRule>
  </conditionalFormatting>
  <hyperlinks>
    <hyperlink ref="A1" location="KEZDŐLAP!A1" display="X" xr:uid="{00000000-0004-0000-0700-000000000000}"/>
  </hyperlinks>
  <pageMargins left="0.7" right="0.7" top="0.75" bottom="0.75" header="0.3" footer="0.3"/>
  <pageSetup paperSize="9"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>
                <anchor moveWithCells="1">
                  <from>
                    <xdr:col>1</xdr:col>
                    <xdr:colOff>438150</xdr:colOff>
                    <xdr:row>4</xdr:row>
                    <xdr:rowOff>76200</xdr:rowOff>
                  </from>
                  <to>
                    <xdr:col>6</xdr:col>
                    <xdr:colOff>142875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>
                <anchor moveWithCells="1">
                  <from>
                    <xdr:col>1</xdr:col>
                    <xdr:colOff>438150</xdr:colOff>
                    <xdr:row>6</xdr:row>
                    <xdr:rowOff>133350</xdr:rowOff>
                  </from>
                  <to>
                    <xdr:col>4</xdr:col>
                    <xdr:colOff>942975</xdr:colOff>
                    <xdr:row>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Check Box 3">
              <controlPr defaultSize="0" autoFill="0" autoLine="0" autoPict="0">
                <anchor moveWithCells="1">
                  <from>
                    <xdr:col>1</xdr:col>
                    <xdr:colOff>438150</xdr:colOff>
                    <xdr:row>8</xdr:row>
                    <xdr:rowOff>171450</xdr:rowOff>
                  </from>
                  <to>
                    <xdr:col>4</xdr:col>
                    <xdr:colOff>1057275</xdr:colOff>
                    <xdr:row>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7" name="Check Box 4">
              <controlPr defaultSize="0" autoFill="0" autoLine="0" autoPict="0">
                <anchor moveWithCells="1">
                  <from>
                    <xdr:col>1</xdr:col>
                    <xdr:colOff>438150</xdr:colOff>
                    <xdr:row>2</xdr:row>
                    <xdr:rowOff>38100</xdr:rowOff>
                  </from>
                  <to>
                    <xdr:col>8</xdr:col>
                    <xdr:colOff>85725</xdr:colOff>
                    <xdr:row>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8" name="Check Box 5">
              <controlPr defaultSize="0" autoFill="0" autoLine="0" autoPict="0">
                <anchor moveWithCells="1">
                  <from>
                    <xdr:col>1</xdr:col>
                    <xdr:colOff>438150</xdr:colOff>
                    <xdr:row>9</xdr:row>
                    <xdr:rowOff>180975</xdr:rowOff>
                  </from>
                  <to>
                    <xdr:col>4</xdr:col>
                    <xdr:colOff>1057275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9" name="Check Box 6">
              <controlPr defaultSize="0" autoFill="0" autoLine="0" autoPict="0">
                <anchor moveWithCells="1">
                  <from>
                    <xdr:col>1</xdr:col>
                    <xdr:colOff>438150</xdr:colOff>
                    <xdr:row>3</xdr:row>
                    <xdr:rowOff>38100</xdr:rowOff>
                  </from>
                  <to>
                    <xdr:col>6</xdr:col>
                    <xdr:colOff>142875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10" name="Check Box 7">
              <controlPr defaultSize="0" autoFill="0" autoLine="0" autoPict="0">
                <anchor moveWithCells="1">
                  <from>
                    <xdr:col>1</xdr:col>
                    <xdr:colOff>438150</xdr:colOff>
                    <xdr:row>5</xdr:row>
                    <xdr:rowOff>114300</xdr:rowOff>
                  </from>
                  <to>
                    <xdr:col>4</xdr:col>
                    <xdr:colOff>942975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1" name="Check Box 8">
              <controlPr defaultSize="0" autoFill="0" autoLine="0" autoPict="0">
                <anchor moveWithCells="1">
                  <from>
                    <xdr:col>1</xdr:col>
                    <xdr:colOff>438150</xdr:colOff>
                    <xdr:row>7</xdr:row>
                    <xdr:rowOff>152400</xdr:rowOff>
                  </from>
                  <to>
                    <xdr:col>4</xdr:col>
                    <xdr:colOff>942975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2" name="Check Box 9">
              <controlPr defaultSize="0" autoFill="0" autoLine="0" autoPict="0">
                <anchor moveWithCells="1">
                  <from>
                    <xdr:col>1</xdr:col>
                    <xdr:colOff>447675</xdr:colOff>
                    <xdr:row>10</xdr:row>
                    <xdr:rowOff>28575</xdr:rowOff>
                  </from>
                  <to>
                    <xdr:col>8</xdr:col>
                    <xdr:colOff>742950</xdr:colOff>
                    <xdr:row>11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33</vt:i4>
      </vt:variant>
    </vt:vector>
  </HeadingPairs>
  <TitlesOfParts>
    <vt:vector size="33" baseType="lpstr">
      <vt:lpstr>KEZDŐLAP</vt:lpstr>
      <vt:lpstr>Kedvtelési</vt:lpstr>
      <vt:lpstr>Matróz</vt:lpstr>
      <vt:lpstr>Matróz-gk</vt:lpstr>
      <vt:lpstr>Fed.mester</vt:lpstr>
      <vt:lpstr>Szolg.kgh.</vt:lpstr>
      <vt:lpstr>Kgh.</vt:lpstr>
      <vt:lpstr>Vit</vt:lpstr>
      <vt:lpstr>UMG</vt:lpstr>
      <vt:lpstr>GNH vez.</vt:lpstr>
      <vt:lpstr>Révész</vt:lpstr>
      <vt:lpstr>C</vt:lpstr>
      <vt:lpstr>ADN</vt:lpstr>
      <vt:lpstr>Rádiókezelő</vt:lpstr>
      <vt:lpstr>HÜV</vt:lpstr>
      <vt:lpstr>Gkez.</vt:lpstr>
      <vt:lpstr>Géptiszt</vt:lpstr>
      <vt:lpstr>Gépész</vt:lpstr>
      <vt:lpstr>Gyakornok (EU)</vt:lpstr>
      <vt:lpstr>Tanuló matróz (EU)</vt:lpstr>
      <vt:lpstr>Matróz (EU)</vt:lpstr>
      <vt:lpstr>Képesített matróz (EU)</vt:lpstr>
      <vt:lpstr>Kormányos (EU)</vt:lpstr>
      <vt:lpstr>Hajóvezető (EU)</vt:lpstr>
      <vt:lpstr>VV Ausztria</vt:lpstr>
      <vt:lpstr>VV Magyarország</vt:lpstr>
      <vt:lpstr>VV Németország Duna</vt:lpstr>
      <vt:lpstr>VV Rajna</vt:lpstr>
      <vt:lpstr>VV III</vt:lpstr>
      <vt:lpstr>Radar (EU)</vt:lpstr>
      <vt:lpstr>Nagy kötelékek (EU)</vt:lpstr>
      <vt:lpstr>Személyhajózás</vt:lpstr>
      <vt:lpstr>Helyettesíthetőség</vt:lpstr>
    </vt:vector>
  </TitlesOfParts>
  <Company>NKH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Szigeti Zoltán</dc:creator>
  <cp:lastModifiedBy>Kozma Bence</cp:lastModifiedBy>
  <cp:lastPrinted>2021-10-20T11:02:52Z</cp:lastPrinted>
  <dcterms:created xsi:type="dcterms:W3CDTF">2018-06-05T10:17:27Z</dcterms:created>
  <dcterms:modified xsi:type="dcterms:W3CDTF">2026-02-19T13:41:18Z</dcterms:modified>
</cp:coreProperties>
</file>