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drawings/drawing2.xml" ContentType="application/vnd.openxmlformats-officedocument.drawing+xml"/>
  <Override PartName="/xl/ctrlProps/ctrlProp12.xml" ContentType="application/vnd.ms-excel.controlproperties+xml"/>
  <Override PartName="/xl/drawings/drawing3.xml" ContentType="application/vnd.openxmlformats-officedocument.drawing+xml"/>
  <Override PartName="/xl/ctrlProps/ctrlProp13.xml" ContentType="application/vnd.ms-excel.controlproperties+xml"/>
  <Override PartName="/xl/drawings/drawing4.xml" ContentType="application/vnd.openxmlformats-officedocument.drawing+xml"/>
  <Override PartName="/xl/ctrlProps/ctrlProp14.xml" ContentType="application/vnd.ms-excel.controlpropertie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drawings/drawing7.xml" ContentType="application/vnd.openxmlformats-officedocument.drawing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drawings/drawing8.xml" ContentType="application/vnd.openxmlformats-officedocument.drawing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drawings/drawing9.xml" ContentType="application/vnd.openxmlformats-officedocument.drawing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drawings/drawing10.xml" ContentType="application/vnd.openxmlformats-officedocument.drawing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drawings/drawing11.xml" ContentType="application/vnd.openxmlformats-officedocument.drawing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drawings/drawing12.xml" ContentType="application/vnd.openxmlformats-officedocument.drawing+xml"/>
  <Override PartName="/xl/ctrlProps/ctrlProp78.xml" ContentType="application/vnd.ms-excel.controlproperties+xml"/>
  <Override PartName="/xl/ctrlProps/ctrlProp79.xml" ContentType="application/vnd.ms-excel.controlproperties+xml"/>
  <Override PartName="/xl/ctrlProps/ctrlProp80.xml" ContentType="application/vnd.ms-excel.controlproperties+xml"/>
  <Override PartName="/xl/ctrlProps/ctrlProp81.xml" ContentType="application/vnd.ms-excel.controlproperties+xml"/>
  <Override PartName="/xl/ctrlProps/ctrlProp82.xml" ContentType="application/vnd.ms-excel.controlproperties+xml"/>
  <Override PartName="/xl/ctrlProps/ctrlProp83.xml" ContentType="application/vnd.ms-excel.controlproperties+xml"/>
  <Override PartName="/xl/ctrlProps/ctrlProp84.xml" ContentType="application/vnd.ms-excel.controlproperties+xml"/>
  <Override PartName="/xl/ctrlProps/ctrlProp85.xml" ContentType="application/vnd.ms-excel.controlproperties+xml"/>
  <Override PartName="/xl/ctrlProps/ctrlProp86.xml" ContentType="application/vnd.ms-excel.controlproperties+xml"/>
  <Override PartName="/xl/ctrlProps/ctrlProp87.xml" ContentType="application/vnd.ms-excel.controlproperties+xml"/>
  <Override PartName="/xl/ctrlProps/ctrlProp88.xml" ContentType="application/vnd.ms-excel.controlproperties+xml"/>
  <Override PartName="/xl/drawings/drawing13.xml" ContentType="application/vnd.openxmlformats-officedocument.drawing+xml"/>
  <Override PartName="/xl/ctrlProps/ctrlProp89.xml" ContentType="application/vnd.ms-excel.controlproperties+xml"/>
  <Override PartName="/xl/ctrlProps/ctrlProp90.xml" ContentType="application/vnd.ms-excel.controlproperties+xml"/>
  <Override PartName="/xl/ctrlProps/ctrlProp91.xml" ContentType="application/vnd.ms-excel.controlproperties+xml"/>
  <Override PartName="/xl/ctrlProps/ctrlProp92.xml" ContentType="application/vnd.ms-excel.controlproperties+xml"/>
  <Override PartName="/xl/ctrlProps/ctrlProp93.xml" ContentType="application/vnd.ms-excel.controlproperties+xml"/>
  <Override PartName="/xl/ctrlProps/ctrlProp94.xml" ContentType="application/vnd.ms-excel.controlproperties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ctrlProps/ctrlProp95.xml" ContentType="application/vnd.ms-excel.controlproperties+xml"/>
  <Override PartName="/xl/ctrlProps/ctrlProp96.xml" ContentType="application/vnd.ms-excel.controlproperties+xml"/>
  <Override PartName="/xl/ctrlProps/ctrlProp97.xml" ContentType="application/vnd.ms-excel.controlproperties+xml"/>
  <Override PartName="/xl/ctrlProps/ctrlProp98.xml" ContentType="application/vnd.ms-excel.controlproperties+xml"/>
  <Override PartName="/xl/ctrlProps/ctrlProp99.xml" ContentType="application/vnd.ms-excel.controlproperties+xml"/>
  <Override PartName="/xl/ctrlProps/ctrlProp100.xml" ContentType="application/vnd.ms-excel.controlproperties+xml"/>
  <Override PartName="/xl/ctrlProps/ctrlProp101.xml" ContentType="application/vnd.ms-excel.controlproperties+xml"/>
  <Override PartName="/xl/ctrlProps/ctrlProp102.xml" ContentType="application/vnd.ms-excel.controlproperties+xml"/>
  <Override PartName="/xl/ctrlProps/ctrlProp103.xml" ContentType="application/vnd.ms-excel.controlproperties+xml"/>
  <Override PartName="/xl/ctrlProps/ctrlProp104.xml" ContentType="application/vnd.ms-excel.controlproperties+xml"/>
  <Override PartName="/xl/ctrlProps/ctrlProp105.xml" ContentType="application/vnd.ms-excel.controlproperties+xml"/>
  <Override PartName="/xl/ctrlProps/ctrlProp106.xml" ContentType="application/vnd.ms-excel.controlproperties+xml"/>
  <Override PartName="/xl/ctrlProps/ctrlProp107.xml" ContentType="application/vnd.ms-excel.controlproperties+xml"/>
  <Override PartName="/xl/drawings/drawing16.xml" ContentType="application/vnd.openxmlformats-officedocument.drawing+xml"/>
  <Override PartName="/xl/ctrlProps/ctrlProp108.xml" ContentType="application/vnd.ms-excel.controlproperties+xml"/>
  <Override PartName="/xl/ctrlProps/ctrlProp109.xml" ContentType="application/vnd.ms-excel.controlproperties+xml"/>
  <Override PartName="/xl/ctrlProps/ctrlProp110.xml" ContentType="application/vnd.ms-excel.controlproperties+xml"/>
  <Override PartName="/xl/drawings/drawing17.xml" ContentType="application/vnd.openxmlformats-officedocument.drawing+xml"/>
  <Override PartName="/xl/ctrlProps/ctrlProp111.xml" ContentType="application/vnd.ms-excel.controlproperties+xml"/>
  <Override PartName="/xl/ctrlProps/ctrlProp112.xml" ContentType="application/vnd.ms-excel.controlproperties+xml"/>
  <Override PartName="/xl/ctrlProps/ctrlProp113.xml" ContentType="application/vnd.ms-excel.controlproperties+xml"/>
  <Override PartName="/xl/ctrlProps/ctrlProp114.xml" ContentType="application/vnd.ms-excel.controlproperties+xml"/>
  <Override PartName="/xl/drawings/drawing18.xml" ContentType="application/vnd.openxmlformats-officedocument.drawing+xml"/>
  <Override PartName="/xl/ctrlProps/ctrlProp115.xml" ContentType="application/vnd.ms-excel.controlproperties+xml"/>
  <Override PartName="/xl/ctrlProps/ctrlProp116.xml" ContentType="application/vnd.ms-excel.controlproperties+xml"/>
  <Override PartName="/xl/ctrlProps/ctrlProp117.xml" ContentType="application/vnd.ms-excel.controlproperties+xml"/>
  <Override PartName="/xl/ctrlProps/ctrlProp118.xml" ContentType="application/vnd.ms-excel.controlproperties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ctrlProps/ctrlProp119.xml" ContentType="application/vnd.ms-excel.controlproperties+xml"/>
  <Override PartName="/xl/ctrlProps/ctrlProp120.xml" ContentType="application/vnd.ms-excel.controlproperties+xml"/>
  <Override PartName="/xl/ctrlProps/ctrlProp121.xml" ContentType="application/vnd.ms-excel.controlproperties+xml"/>
  <Override PartName="/xl/ctrlProps/ctrlProp122.xml" ContentType="application/vnd.ms-excel.controlproperties+xml"/>
  <Override PartName="/xl/ctrlProps/ctrlProp123.xml" ContentType="application/vnd.ms-excel.controlproperties+xml"/>
  <Override PartName="/xl/ctrlProps/ctrlProp124.xml" ContentType="application/vnd.ms-excel.controlproperties+xml"/>
  <Override PartName="/xl/drawings/drawing22.xml" ContentType="application/vnd.openxmlformats-officedocument.drawing+xml"/>
  <Override PartName="/xl/ctrlProps/ctrlProp125.xml" ContentType="application/vnd.ms-excel.controlproperties+xml"/>
  <Override PartName="/xl/ctrlProps/ctrlProp126.xml" ContentType="application/vnd.ms-excel.controlproperties+xml"/>
  <Override PartName="/xl/ctrlProps/ctrlProp127.xml" ContentType="application/vnd.ms-excel.controlproperties+xml"/>
  <Override PartName="/xl/drawings/drawing23.xml" ContentType="application/vnd.openxmlformats-officedocument.drawing+xml"/>
  <Override PartName="/xl/ctrlProps/ctrlProp128.xml" ContentType="application/vnd.ms-excel.controlproperties+xml"/>
  <Override PartName="/xl/ctrlProps/ctrlProp129.xml" ContentType="application/vnd.ms-excel.controlproperties+xml"/>
  <Override PartName="/xl/ctrlProps/ctrlProp130.xml" ContentType="application/vnd.ms-excel.controlproperties+xml"/>
  <Override PartName="/xl/ctrlProps/ctrlProp131.xml" ContentType="application/vnd.ms-excel.controlproperties+xml"/>
  <Override PartName="/xl/drawings/drawing24.xml" ContentType="application/vnd.openxmlformats-officedocument.drawing+xml"/>
  <Override PartName="/xl/ctrlProps/ctrlProp132.xml" ContentType="application/vnd.ms-excel.controlproperties+xml"/>
  <Override PartName="/xl/ctrlProps/ctrlProp133.xml" ContentType="application/vnd.ms-excel.controlproperties+xml"/>
  <Override PartName="/xl/ctrlProps/ctrlProp134.xml" ContentType="application/vnd.ms-excel.controlproperties+xml"/>
  <Override PartName="/xl/ctrlProps/ctrlProp135.xml" ContentType="application/vnd.ms-excel.controlproperties+xml"/>
  <Override PartName="/xl/ctrlProps/ctrlProp136.xml" ContentType="application/vnd.ms-excel.controlproperties+xml"/>
  <Override PartName="/xl/ctrlProps/ctrlProp137.xml" ContentType="application/vnd.ms-excel.controlproperties+xml"/>
  <Override PartName="/xl/ctrlProps/ctrlProp138.xml" ContentType="application/vnd.ms-excel.controlproperties+xml"/>
  <Override PartName="/xl/ctrlProps/ctrlProp139.xml" ContentType="application/vnd.ms-excel.controlproperties+xml"/>
  <Override PartName="/xl/ctrlProps/ctrlProp140.xml" ContentType="application/vnd.ms-excel.controlproperties+xml"/>
  <Override PartName="/xl/ctrlProps/ctrlProp141.xml" ContentType="application/vnd.ms-excel.controlproperties+xml"/>
  <Override PartName="/xl/ctrlProps/ctrlProp142.xml" ContentType="application/vnd.ms-excel.controlproperties+xml"/>
  <Override PartName="/xl/drawings/drawing25.xml" ContentType="application/vnd.openxmlformats-officedocument.drawing+xml"/>
  <Override PartName="/xl/ctrlProps/ctrlProp143.xml" ContentType="application/vnd.ms-excel.controlproperties+xml"/>
  <Override PartName="/xl/ctrlProps/ctrlProp144.xml" ContentType="application/vnd.ms-excel.controlproperties+xml"/>
  <Override PartName="/xl/ctrlProps/ctrlProp145.xml" ContentType="application/vnd.ms-excel.controlproperties+xml"/>
  <Override PartName="/xl/drawings/drawing26.xml" ContentType="application/vnd.openxmlformats-officedocument.drawing+xml"/>
  <Override PartName="/xl/ctrlProps/ctrlProp146.xml" ContentType="application/vnd.ms-excel.controlproperties+xml"/>
  <Override PartName="/xl/ctrlProps/ctrlProp147.xml" ContentType="application/vnd.ms-excel.controlproperties+xml"/>
  <Override PartName="/xl/ctrlProps/ctrlProp148.xml" ContentType="application/vnd.ms-excel.controlproperties+xml"/>
  <Override PartName="/xl/ctrlProps/ctrlProp149.xml" ContentType="application/vnd.ms-excel.controlproperties+xml"/>
  <Override PartName="/xl/ctrlProps/ctrlProp150.xml" ContentType="application/vnd.ms-excel.controlproperties+xml"/>
  <Override PartName="/xl/ctrlProps/ctrlProp151.xml" ContentType="application/vnd.ms-excel.controlproperties+xml"/>
  <Override PartName="/xl/ctrlProps/ctrlProp152.xml" ContentType="application/vnd.ms-excel.controlproperties+xml"/>
  <Override PartName="/xl/ctrlProps/ctrlProp153.xml" ContentType="application/vnd.ms-excel.controlproperties+xml"/>
  <Override PartName="/xl/ctrlProps/ctrlProp154.xml" ContentType="application/vnd.ms-excel.controlproperties+xml"/>
  <Override PartName="/xl/drawings/drawing27.xml" ContentType="application/vnd.openxmlformats-officedocument.drawing+xml"/>
  <Override PartName="/xl/ctrlProps/ctrlProp155.xml" ContentType="application/vnd.ms-excel.controlproperties+xml"/>
  <Override PartName="/xl/ctrlProps/ctrlProp156.xml" ContentType="application/vnd.ms-excel.controlproperties+xml"/>
  <Override PartName="/xl/ctrlProps/ctrlProp157.xml" ContentType="application/vnd.ms-excel.controlproperties+xml"/>
  <Override PartName="/xl/ctrlProps/ctrlProp158.xml" ContentType="application/vnd.ms-excel.controlproperties+xml"/>
  <Override PartName="/xl/ctrlProps/ctrlProp159.xml" ContentType="application/vnd.ms-excel.controlproperties+xml"/>
  <Override PartName="/xl/ctrlProps/ctrlProp160.xml" ContentType="application/vnd.ms-excel.controlproperties+xml"/>
  <Override PartName="/xl/ctrlProps/ctrlProp161.xml" ContentType="application/vnd.ms-excel.controlproperties+xml"/>
  <Override PartName="/xl/ctrlProps/ctrlProp162.xml" ContentType="application/vnd.ms-excel.controlproperties+xml"/>
  <Override PartName="/xl/drawings/drawing28.xml" ContentType="application/vnd.openxmlformats-officedocument.drawing+xml"/>
  <Override PartName="/xl/ctrlProps/ctrlProp163.xml" ContentType="application/vnd.ms-excel.controlproperties+xml"/>
  <Override PartName="/xl/ctrlProps/ctrlProp164.xml" ContentType="application/vnd.ms-excel.controlproperties+xml"/>
  <Override PartName="/xl/ctrlProps/ctrlProp165.xml" ContentType="application/vnd.ms-excel.controlproperties+xml"/>
  <Override PartName="/xl/drawings/drawing29.xml" ContentType="application/vnd.openxmlformats-officedocument.drawing+xml"/>
  <Override PartName="/xl/ctrlProps/ctrlProp166.xml" ContentType="application/vnd.ms-excel.controlproperties+xml"/>
  <Override PartName="/xl/ctrlProps/ctrlProp167.xml" ContentType="application/vnd.ms-excel.controlproperties+xml"/>
  <Override PartName="/xl/drawings/drawing30.xml" ContentType="application/vnd.openxmlformats-officedocument.drawing+xml"/>
  <Override PartName="/xl/ctrlProps/ctrlProp168.xml" ContentType="application/vnd.ms-excel.controlproperties+xml"/>
  <Override PartName="/xl/ctrlProps/ctrlProp169.xml" ContentType="application/vnd.ms-excel.controlproperties+xml"/>
  <Override PartName="/xl/ctrlProps/ctrlProp170.xml" ContentType="application/vnd.ms-excel.controlproperties+xml"/>
  <Override PartName="/xl/ctrlProps/ctrlProp171.xml" ContentType="application/vnd.ms-excel.controlproperties+xml"/>
  <Override PartName="/xl/drawings/drawing31.xml" ContentType="application/vnd.openxmlformats-officedocument.drawing+xml"/>
  <Override PartName="/xl/ctrlProps/ctrlProp172.xml" ContentType="application/vnd.ms-excel.controlproperties+xml"/>
  <Override PartName="/xl/drawings/drawing32.xml" ContentType="application/vnd.openxmlformats-officedocument.drawing+xml"/>
  <Override PartName="/xl/ctrlProps/ctrlProp173.xml" ContentType="application/vnd.ms-excel.controlproperties+xml"/>
  <Override PartName="/xl/ctrlProps/ctrlProp174.xml" ContentType="application/vnd.ms-excel.controlproperties+xml"/>
  <Override PartName="/xl/drawings/drawing33.xml" ContentType="application/vnd.openxmlformats-officedocument.drawing+xml"/>
  <Override PartName="/xl/ctrlProps/ctrlProp175.xml" ContentType="application/vnd.ms-excel.controlproperties+xml"/>
  <Override PartName="/xl/ctrlProps/ctrlProp176.xml" ContentType="application/vnd.ms-excel.controlproperties+xml"/>
  <Override PartName="/xl/ctrlProps/ctrlProp177.xml" ContentType="application/vnd.ms-excel.controlproperties+xml"/>
  <Override PartName="/xl/ctrlProps/ctrlProp178.xml" ContentType="application/vnd.ms-excel.controlproperties+xml"/>
  <Override PartName="/xl/ctrlProps/ctrlProp179.xml" ContentType="application/vnd.ms-excel.controlproperties+xml"/>
  <Override PartName="/xl/ctrlProps/ctrlProp180.xml" ContentType="application/vnd.ms-excel.controlproperties+xml"/>
  <Override PartName="/xl/ctrlProps/ctrlProp181.xml" ContentType="application/vnd.ms-excel.controlproperties+xml"/>
  <Override PartName="/xl/ctrlProps/ctrlProp182.xml" ContentType="application/vnd.ms-excel.controlproperties+xml"/>
  <Override PartName="/xl/ctrlProps/ctrlProp183.xml" ContentType="application/vnd.ms-excel.controlproperties+xml"/>
  <Override PartName="/xl/ctrlProps/ctrlProp184.xml" ContentType="application/vnd.ms-excel.controlproperties+xml"/>
  <Override PartName="/xl/ctrlProps/ctrlProp185.xml" ContentType="application/vnd.ms-excel.controlproperties+xml"/>
  <Override PartName="/xl/ctrlProps/ctrlProp186.xml" ContentType="application/vnd.ms-excel.controlproperties+xml"/>
  <Override PartName="/xl/ctrlProps/ctrlProp187.xml" ContentType="application/vnd.ms-excel.controlproperties+xml"/>
  <Override PartName="/xl/ctrlProps/ctrlProp188.xml" ContentType="application/vnd.ms-excel.controlproperties+xml"/>
  <Override PartName="/xl/ctrlProps/ctrlProp189.xml" ContentType="application/vnd.ms-excel.controlproperties+xml"/>
  <Override PartName="/xl/ctrlProps/ctrlProp190.xml" ContentType="application/vnd.ms-excel.controlproperties+xml"/>
  <Override PartName="/xl/ctrlProps/ctrlProp191.xml" ContentType="application/vnd.ms-excel.controlproperties+xml"/>
  <Override PartName="/xl/ctrlProps/ctrlProp192.xml" ContentType="application/vnd.ms-excel.controlproperties+xml"/>
  <Override PartName="/xl/ctrlProps/ctrlProp193.xml" ContentType="application/vnd.ms-excel.controlproperties+xml"/>
  <Override PartName="/xl/ctrlProps/ctrlProp194.xml" ContentType="application/vnd.ms-excel.controlproperties+xml"/>
  <Override PartName="/xl/ctrlProps/ctrlProp195.xml" ContentType="application/vnd.ms-excel.controlproperties+xml"/>
  <Override PartName="/xl/ctrlProps/ctrlProp196.xml" ContentType="application/vnd.ms-excel.controlproperties+xml"/>
  <Override PartName="/xl/ctrlProps/ctrlProp197.xml" ContentType="application/vnd.ms-excel.controlproperties+xml"/>
  <Override PartName="/xl/ctrlProps/ctrlProp198.xml" ContentType="application/vnd.ms-excel.controlproperties+xml"/>
  <Override PartName="/xl/ctrlProps/ctrlProp199.xml" ContentType="application/vnd.ms-excel.controlproperties+xml"/>
  <Override PartName="/xl/ctrlProps/ctrlProp200.xml" ContentType="application/vnd.ms-excel.controlproperties+xml"/>
  <Override PartName="/xl/ctrlProps/ctrlProp201.xml" ContentType="application/vnd.ms-excel.controlproperties+xml"/>
  <Override PartName="/xl/ctrlProps/ctrlProp202.xml" ContentType="application/vnd.ms-excel.controlproperties+xml"/>
  <Override PartName="/xl/ctrlProps/ctrlProp203.xml" ContentType="application/vnd.ms-excel.controlproperties+xml"/>
  <Override PartName="/xl/ctrlProps/ctrlProp204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kozma.bence\Downloads\"/>
    </mc:Choice>
  </mc:AlternateContent>
  <xr:revisionPtr revIDLastSave="0" documentId="13_ncr:1_{1E39C47C-42BD-436C-84A9-5D3F6716B1ED}" xr6:coauthVersionLast="36" xr6:coauthVersionMax="47" xr10:uidLastSave="{00000000-0000-0000-0000-000000000000}"/>
  <bookViews>
    <workbookView xWindow="0" yWindow="0" windowWidth="28800" windowHeight="12105" tabRatio="856" xr2:uid="{BAC2958F-6861-4646-872D-9CBFE20760F7}"/>
  </bookViews>
  <sheets>
    <sheet name="Kezdőlap" sheetId="37" r:id="rId1"/>
    <sheet name="Kedvtelési" sheetId="2" r:id="rId2"/>
    <sheet name="Matróz" sheetId="4" r:id="rId3"/>
    <sheet name="Matróz-gépkezelő" sheetId="5" r:id="rId4"/>
    <sheet name="Fedélzetmester" sheetId="6" r:id="rId5"/>
    <sheet name="Kormányos" sheetId="38" r:id="rId6"/>
    <sheet name="Szolgálati kisgéphajó vezető" sheetId="7" r:id="rId7"/>
    <sheet name="Hivatásos kisgéphajó vezető" sheetId="8" r:id="rId8"/>
    <sheet name="Hivatásos vit. kishajó vezető" sheetId="9" r:id="rId9"/>
    <sheet name="Úszómunkagép vezető" sheetId="10" r:id="rId10"/>
    <sheet name="Gépnélküli hajóvezető" sheetId="11" r:id="rId11"/>
    <sheet name="Révész" sheetId="12" r:id="rId12"/>
    <sheet name="&quot;C&quot; kat. hajóvezető" sheetId="13" r:id="rId13"/>
    <sheet name="ADN" sheetId="14" r:id="rId14"/>
    <sheet name="Rádiótelefonkezelő" sheetId="15" r:id="rId15"/>
    <sheet name="Hajózási üzemeltetési vezeő" sheetId="16" r:id="rId16"/>
    <sheet name="Gépkezelő" sheetId="17" r:id="rId17"/>
    <sheet name="Géptiszt" sheetId="18" r:id="rId18"/>
    <sheet name="Gépész" sheetId="19" r:id="rId19"/>
    <sheet name="Gyakornok (EU)" sheetId="20" r:id="rId20"/>
    <sheet name="Tanuló matróz (EU)" sheetId="21" r:id="rId21"/>
    <sheet name="Matróz (EU)" sheetId="22" r:id="rId22"/>
    <sheet name="Képesített matróz (EU)" sheetId="23" r:id="rId23"/>
    <sheet name="Kormányos (EU)" sheetId="24" r:id="rId24"/>
    <sheet name="Hajóvezető (EU)" sheetId="25" r:id="rId25"/>
    <sheet name="VV Ausztria" sheetId="26" r:id="rId26"/>
    <sheet name="VV Magyarország" sheetId="27" r:id="rId27"/>
    <sheet name="VV Németország Duna" sheetId="28" r:id="rId28"/>
    <sheet name="VV Rajna" sheetId="29" r:id="rId29"/>
    <sheet name="VV III" sheetId="31" r:id="rId30"/>
    <sheet name="Radar (EU)" sheetId="32" r:id="rId31"/>
    <sheet name="Nagy kötelékek (EU)" sheetId="33" r:id="rId32"/>
    <sheet name="Személyhajózási szakember (EU)" sheetId="34" r:id="rId33"/>
    <sheet name="Helyettesíthetőség" sheetId="36" r:id="rId3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7" i="6" l="1"/>
  <c r="F31" i="2" l="1"/>
  <c r="I36" i="16"/>
  <c r="H36" i="16" l="1"/>
  <c r="G36" i="16"/>
  <c r="Q15" i="34"/>
  <c r="Q26" i="33"/>
  <c r="Q11" i="33"/>
  <c r="L6" i="33"/>
  <c r="E10" i="21"/>
  <c r="P29" i="32"/>
  <c r="C26" i="32"/>
  <c r="B26" i="32"/>
  <c r="B25" i="31"/>
  <c r="O32" i="27"/>
  <c r="N32" i="27"/>
  <c r="L32" i="27"/>
  <c r="J32" i="27"/>
  <c r="H32" i="27"/>
  <c r="F32" i="27"/>
  <c r="D32" i="27"/>
  <c r="C32" i="27"/>
  <c r="B32" i="27"/>
  <c r="D25" i="26"/>
  <c r="C25" i="26"/>
  <c r="B25" i="26"/>
  <c r="Q10" i="25"/>
  <c r="E36" i="25"/>
  <c r="I18" i="22"/>
  <c r="E8" i="21"/>
  <c r="E10" i="20" l="1"/>
  <c r="E8" i="20"/>
  <c r="Q16" i="19"/>
  <c r="P10" i="18"/>
  <c r="P11" i="18"/>
  <c r="B18" i="15"/>
  <c r="L9" i="14"/>
  <c r="C30" i="14"/>
  <c r="B30" i="14"/>
  <c r="C29" i="12"/>
  <c r="S15" i="8"/>
  <c r="E17" i="5" l="1"/>
  <c r="E15" i="4"/>
  <c r="B10" i="38" l="1"/>
  <c r="S10" i="16" l="1"/>
  <c r="P16" i="32"/>
  <c r="Q24" i="34" l="1"/>
  <c r="Q18" i="34"/>
  <c r="C24" i="34"/>
  <c r="B24" i="34"/>
  <c r="C23" i="34"/>
  <c r="B23" i="34"/>
  <c r="G13" i="34"/>
  <c r="Q13" i="34"/>
  <c r="Q6" i="34"/>
  <c r="E13" i="34" l="1"/>
  <c r="B33" i="36" l="1"/>
  <c r="H15" i="36" l="1"/>
  <c r="H14" i="36"/>
  <c r="H13" i="36"/>
  <c r="H12" i="36"/>
  <c r="H11" i="36"/>
  <c r="H10" i="36"/>
  <c r="B32" i="36"/>
  <c r="B31" i="36"/>
  <c r="B30" i="36"/>
  <c r="B29" i="36"/>
  <c r="B28" i="36"/>
  <c r="B27" i="36"/>
  <c r="B26" i="36"/>
  <c r="B25" i="36"/>
  <c r="B24" i="36"/>
  <c r="B23" i="36"/>
  <c r="B22" i="36"/>
  <c r="B21" i="36"/>
  <c r="B20" i="36"/>
  <c r="B19" i="36"/>
  <c r="B18" i="36"/>
  <c r="B17" i="36"/>
  <c r="B16" i="36"/>
  <c r="B15" i="36"/>
  <c r="B14" i="36"/>
  <c r="B13" i="36"/>
  <c r="B12" i="36"/>
  <c r="B11" i="36"/>
  <c r="B10" i="36"/>
  <c r="P12" i="32"/>
  <c r="G16" i="32"/>
  <c r="M27" i="24" l="1"/>
  <c r="M6" i="24"/>
  <c r="M27" i="23"/>
  <c r="Z13" i="22"/>
  <c r="B12" i="33" l="1"/>
  <c r="P25" i="32"/>
  <c r="P20" i="32"/>
  <c r="K13" i="32"/>
  <c r="K6" i="32"/>
  <c r="C25" i="32"/>
  <c r="B25" i="32"/>
  <c r="C25" i="31"/>
  <c r="G15" i="31"/>
  <c r="C24" i="31"/>
  <c r="B24" i="31"/>
  <c r="K19" i="31"/>
  <c r="K11" i="31"/>
  <c r="K6" i="31"/>
  <c r="M18" i="29"/>
  <c r="H15" i="29"/>
  <c r="D25" i="29"/>
  <c r="C25" i="29"/>
  <c r="B25" i="29"/>
  <c r="D24" i="29"/>
  <c r="C24" i="29"/>
  <c r="B24" i="29"/>
  <c r="M24" i="28"/>
  <c r="I31" i="28"/>
  <c r="H31" i="28"/>
  <c r="G31" i="28"/>
  <c r="F31" i="28"/>
  <c r="E31" i="28"/>
  <c r="D31" i="28"/>
  <c r="C31" i="28"/>
  <c r="B31" i="28"/>
  <c r="I30" i="28"/>
  <c r="H30" i="28"/>
  <c r="G30" i="28"/>
  <c r="F30" i="28"/>
  <c r="E30" i="28"/>
  <c r="D30" i="28"/>
  <c r="C30" i="28"/>
  <c r="B30" i="28"/>
  <c r="E15" i="31" l="1"/>
  <c r="E16" i="32"/>
  <c r="P6" i="32" s="1"/>
  <c r="F15" i="29"/>
  <c r="K24" i="28"/>
  <c r="J6" i="13" l="1"/>
  <c r="M32" i="27"/>
  <c r="K32" i="27"/>
  <c r="I32" i="27"/>
  <c r="G32" i="27"/>
  <c r="E32" i="27"/>
  <c r="O31" i="27"/>
  <c r="N31" i="27"/>
  <c r="M31" i="27"/>
  <c r="L31" i="27"/>
  <c r="K31" i="27"/>
  <c r="J31" i="27"/>
  <c r="I31" i="27"/>
  <c r="H31" i="27"/>
  <c r="G31" i="27"/>
  <c r="F31" i="27"/>
  <c r="D31" i="27"/>
  <c r="E31" i="27"/>
  <c r="C31" i="27"/>
  <c r="B31" i="27"/>
  <c r="D24" i="26"/>
  <c r="C24" i="26"/>
  <c r="B24" i="26"/>
  <c r="S22" i="27"/>
  <c r="Q22" i="27" l="1"/>
  <c r="K19" i="26" l="1"/>
  <c r="I19" i="26" l="1"/>
  <c r="K36" i="25"/>
  <c r="J36" i="25"/>
  <c r="I36" i="25"/>
  <c r="H36" i="25"/>
  <c r="G36" i="25"/>
  <c r="F36" i="25"/>
  <c r="K35" i="25"/>
  <c r="J35" i="25"/>
  <c r="I35" i="25"/>
  <c r="H35" i="25"/>
  <c r="G35" i="25"/>
  <c r="F35" i="25"/>
  <c r="E28" i="24"/>
  <c r="D28" i="24"/>
  <c r="C28" i="24"/>
  <c r="B28" i="24"/>
  <c r="E35" i="25"/>
  <c r="Q25" i="25"/>
  <c r="Q22" i="25"/>
  <c r="M28" i="25" l="1"/>
  <c r="Q19" i="25" l="1"/>
  <c r="Q18" i="25"/>
  <c r="V15" i="25"/>
  <c r="Q15" i="25"/>
  <c r="Q11" i="25"/>
  <c r="Q5" i="25" l="1"/>
  <c r="O28" i="25"/>
  <c r="M32" i="24" l="1"/>
  <c r="M29" i="24"/>
  <c r="E29" i="24"/>
  <c r="D29" i="24"/>
  <c r="C29" i="24"/>
  <c r="B29" i="24"/>
  <c r="I16" i="24"/>
  <c r="G16" i="24" l="1"/>
  <c r="M23" i="24" l="1"/>
  <c r="M21" i="24"/>
  <c r="M20" i="24"/>
  <c r="M18" i="24"/>
  <c r="M14" i="24"/>
  <c r="M13" i="24"/>
  <c r="M6" i="23"/>
  <c r="C30" i="23"/>
  <c r="D30" i="23"/>
  <c r="I17" i="23"/>
  <c r="E30" i="23"/>
  <c r="E29" i="23"/>
  <c r="D29" i="23"/>
  <c r="C29" i="23"/>
  <c r="B29" i="23"/>
  <c r="E31" i="22"/>
  <c r="B30" i="23"/>
  <c r="M32" i="23"/>
  <c r="M29" i="23"/>
  <c r="M23" i="23"/>
  <c r="M20" i="23"/>
  <c r="M19" i="23"/>
  <c r="M16" i="23"/>
  <c r="M13" i="23"/>
  <c r="M12" i="23"/>
  <c r="O12" i="22"/>
  <c r="O30" i="22"/>
  <c r="Z22" i="22"/>
  <c r="Z15" i="22"/>
  <c r="D31" i="22"/>
  <c r="C31" i="22"/>
  <c r="B31" i="22"/>
  <c r="D30" i="22"/>
  <c r="C30" i="22"/>
  <c r="B30" i="22"/>
  <c r="E30" i="22"/>
  <c r="G17" i="23" l="1"/>
  <c r="G18" i="22"/>
  <c r="O34" i="22" l="1"/>
  <c r="O33" i="22"/>
  <c r="O27" i="22"/>
  <c r="O25" i="22" l="1"/>
  <c r="O24" i="22"/>
  <c r="O23" i="22"/>
  <c r="O22" i="22"/>
  <c r="U14" i="22"/>
  <c r="S17" i="22"/>
  <c r="O14" i="22"/>
  <c r="O11" i="22"/>
  <c r="O6" i="22"/>
  <c r="O5" i="22"/>
  <c r="M28" i="19"/>
  <c r="M27" i="19" s="1"/>
  <c r="L28" i="19"/>
  <c r="L27" i="19" s="1"/>
  <c r="K28" i="19"/>
  <c r="K27" i="19" s="1"/>
  <c r="J28" i="19"/>
  <c r="J27" i="19" s="1"/>
  <c r="I28" i="19"/>
  <c r="I27" i="19" s="1"/>
  <c r="H28" i="19"/>
  <c r="H27" i="19" s="1"/>
  <c r="G28" i="19"/>
  <c r="G27" i="19" s="1"/>
  <c r="F28" i="19"/>
  <c r="F27" i="19" s="1"/>
  <c r="E28" i="19"/>
  <c r="E27" i="19" s="1"/>
  <c r="D28" i="19"/>
  <c r="D27" i="19" s="1"/>
  <c r="C28" i="19"/>
  <c r="C27" i="19" s="1"/>
  <c r="B28" i="19"/>
  <c r="O16" i="19" l="1"/>
  <c r="B27" i="19"/>
  <c r="S12" i="19"/>
  <c r="S14" i="19"/>
  <c r="S10" i="19"/>
  <c r="S7" i="19"/>
  <c r="N6" i="19"/>
  <c r="J18" i="18"/>
  <c r="F30" i="18"/>
  <c r="E30" i="18"/>
  <c r="D30" i="18"/>
  <c r="C30" i="18"/>
  <c r="B30" i="18"/>
  <c r="C29" i="18"/>
  <c r="D29" i="18"/>
  <c r="E29" i="18"/>
  <c r="F29" i="18"/>
  <c r="B29" i="18"/>
  <c r="P15" i="18"/>
  <c r="P13" i="18"/>
  <c r="P7" i="18"/>
  <c r="K6" i="18"/>
  <c r="N16" i="17"/>
  <c r="C28" i="17"/>
  <c r="D28" i="17"/>
  <c r="E28" i="17"/>
  <c r="F28" i="17"/>
  <c r="G28" i="17"/>
  <c r="H28" i="17"/>
  <c r="I28" i="17"/>
  <c r="J28" i="17"/>
  <c r="B28" i="17"/>
  <c r="C27" i="17"/>
  <c r="D27" i="17"/>
  <c r="E27" i="17"/>
  <c r="F27" i="17"/>
  <c r="G27" i="17"/>
  <c r="H27" i="17"/>
  <c r="I27" i="17"/>
  <c r="J27" i="17"/>
  <c r="B27" i="17"/>
  <c r="P24" i="17"/>
  <c r="P14" i="17"/>
  <c r="P11" i="17"/>
  <c r="P13" i="17"/>
  <c r="J6" i="17"/>
  <c r="S24" i="16"/>
  <c r="L36" i="16"/>
  <c r="L37" i="16" s="1"/>
  <c r="M36" i="16"/>
  <c r="M37" i="16" s="1"/>
  <c r="N36" i="16"/>
  <c r="N37" i="16" s="1"/>
  <c r="O36" i="16"/>
  <c r="O37" i="16" s="1"/>
  <c r="K36" i="16"/>
  <c r="K37" i="16" s="1"/>
  <c r="J36" i="16"/>
  <c r="J37" i="16" s="1"/>
  <c r="I37" i="16"/>
  <c r="H37" i="16"/>
  <c r="G37" i="16"/>
  <c r="D36" i="16"/>
  <c r="D37" i="16" s="1"/>
  <c r="C36" i="16"/>
  <c r="C37" i="16" s="1"/>
  <c r="F36" i="16"/>
  <c r="F37" i="16" s="1"/>
  <c r="E36" i="16"/>
  <c r="E37" i="16" s="1"/>
  <c r="B36" i="16"/>
  <c r="B37" i="16" s="1"/>
  <c r="B32" i="2"/>
  <c r="L16" i="17" l="1"/>
  <c r="H18" i="18"/>
  <c r="Q24" i="16" l="1"/>
  <c r="D9" i="15"/>
  <c r="C29" i="14" l="1"/>
  <c r="B29" i="14"/>
  <c r="G19" i="14"/>
  <c r="E19" i="14" l="1"/>
  <c r="O25" i="13"/>
  <c r="G36" i="13"/>
  <c r="G35" i="13" s="1"/>
  <c r="F36" i="13"/>
  <c r="F35" i="13" s="1"/>
  <c r="E36" i="13"/>
  <c r="E35" i="13" s="1"/>
  <c r="D36" i="13"/>
  <c r="D35" i="13" s="1"/>
  <c r="C36" i="13"/>
  <c r="C35" i="13" s="1"/>
  <c r="B36" i="13"/>
  <c r="H36" i="13"/>
  <c r="H35" i="13" s="1"/>
  <c r="O14" i="13"/>
  <c r="O15" i="13"/>
  <c r="O12" i="13"/>
  <c r="J18" i="13"/>
  <c r="J17" i="13"/>
  <c r="J13" i="13"/>
  <c r="J12" i="13"/>
  <c r="L25" i="13"/>
  <c r="J25" i="13" l="1"/>
  <c r="O6" i="13" s="1"/>
  <c r="B35" i="13"/>
  <c r="N18" i="12" l="1"/>
  <c r="G29" i="12"/>
  <c r="G28" i="12" s="1"/>
  <c r="F29" i="12"/>
  <c r="F28" i="12" s="1"/>
  <c r="E29" i="12"/>
  <c r="E28" i="12" s="1"/>
  <c r="D29" i="12"/>
  <c r="D28" i="12" s="1"/>
  <c r="C28" i="12"/>
  <c r="B29" i="12"/>
  <c r="L18" i="12"/>
  <c r="N15" i="12"/>
  <c r="N13" i="12"/>
  <c r="J18" i="12" l="1"/>
  <c r="B28" i="12"/>
  <c r="H34" i="11" l="1"/>
  <c r="H33" i="11" s="1"/>
  <c r="G34" i="11"/>
  <c r="G33" i="11" s="1"/>
  <c r="F34" i="11"/>
  <c r="F33" i="11" s="1"/>
  <c r="E34" i="11"/>
  <c r="E33" i="11" s="1"/>
  <c r="D34" i="11"/>
  <c r="D33" i="11" s="1"/>
  <c r="C34" i="11"/>
  <c r="C33" i="11" s="1"/>
  <c r="B34" i="11"/>
  <c r="S23" i="11"/>
  <c r="S15" i="11"/>
  <c r="S14" i="11"/>
  <c r="L23" i="11"/>
  <c r="O6" i="11"/>
  <c r="J23" i="11" l="1"/>
  <c r="S11" i="11" s="1"/>
  <c r="B33" i="11"/>
  <c r="S6" i="11" l="1"/>
  <c r="G34" i="10" l="1"/>
  <c r="G33" i="10" s="1"/>
  <c r="F34" i="10"/>
  <c r="F33" i="10" s="1"/>
  <c r="E34" i="10"/>
  <c r="E33" i="10" s="1"/>
  <c r="D34" i="10"/>
  <c r="D33" i="10" s="1"/>
  <c r="C34" i="10"/>
  <c r="C33" i="10" s="1"/>
  <c r="B34" i="10"/>
  <c r="S23" i="10"/>
  <c r="S12" i="10"/>
  <c r="S13" i="10"/>
  <c r="K23" i="10"/>
  <c r="J24" i="2"/>
  <c r="L26" i="7"/>
  <c r="L26" i="8"/>
  <c r="M28" i="9"/>
  <c r="I37" i="9"/>
  <c r="I36" i="9" s="1"/>
  <c r="H37" i="9"/>
  <c r="H36" i="9" s="1"/>
  <c r="G37" i="9"/>
  <c r="G36" i="9" s="1"/>
  <c r="F37" i="9"/>
  <c r="F36" i="9" s="1"/>
  <c r="E37" i="9"/>
  <c r="E36" i="9" s="1"/>
  <c r="D37" i="9"/>
  <c r="D36" i="9" s="1"/>
  <c r="C37" i="9"/>
  <c r="C36" i="9" s="1"/>
  <c r="B37" i="9"/>
  <c r="B36" i="9" s="1"/>
  <c r="S21" i="9"/>
  <c r="O6" i="9"/>
  <c r="S14" i="9"/>
  <c r="S16" i="9"/>
  <c r="S12" i="9"/>
  <c r="H36" i="8"/>
  <c r="H35" i="8" s="1"/>
  <c r="G36" i="8"/>
  <c r="G35" i="8" s="1"/>
  <c r="F36" i="8"/>
  <c r="F35" i="8" s="1"/>
  <c r="E36" i="8"/>
  <c r="E35" i="8" s="1"/>
  <c r="D36" i="8"/>
  <c r="D35" i="8" s="1"/>
  <c r="C36" i="8"/>
  <c r="C35" i="8" s="1"/>
  <c r="B36" i="8"/>
  <c r="S20" i="8"/>
  <c r="O6" i="8"/>
  <c r="S17" i="8"/>
  <c r="B35" i="8" l="1"/>
  <c r="J26" i="8"/>
  <c r="S11" i="8" s="1"/>
  <c r="I23" i="10"/>
  <c r="S6" i="10" s="1"/>
  <c r="B33" i="10"/>
  <c r="K28" i="9"/>
  <c r="S6" i="9" s="1"/>
  <c r="S6" i="8" l="1"/>
  <c r="S15" i="10"/>
  <c r="S17" i="7" l="1"/>
  <c r="S20" i="7"/>
  <c r="H36" i="7"/>
  <c r="H35" i="7" s="1"/>
  <c r="G36" i="7"/>
  <c r="G35" i="7" s="1"/>
  <c r="E36" i="7"/>
  <c r="E35" i="7" s="1"/>
  <c r="F36" i="7"/>
  <c r="F35" i="7" s="1"/>
  <c r="D36" i="7"/>
  <c r="D35" i="7" s="1"/>
  <c r="C36" i="7"/>
  <c r="C35" i="7" s="1"/>
  <c r="B36" i="7"/>
  <c r="S15" i="7"/>
  <c r="O6" i="7"/>
  <c r="L6" i="6"/>
  <c r="P9" i="6"/>
  <c r="J26" i="7" l="1"/>
  <c r="B35" i="7"/>
  <c r="M20" i="5"/>
  <c r="Q14" i="5"/>
  <c r="M6" i="5"/>
  <c r="P17" i="4"/>
  <c r="P14" i="4"/>
  <c r="P13" i="4"/>
  <c r="L6" i="4"/>
  <c r="S11" i="7" l="1"/>
  <c r="S6" i="7"/>
  <c r="Q19" i="2"/>
  <c r="Q15" i="2"/>
  <c r="Q14" i="2"/>
  <c r="Q13" i="2"/>
  <c r="Q12" i="2"/>
  <c r="Q9" i="2"/>
  <c r="F32" i="2"/>
  <c r="E32" i="2"/>
  <c r="D32" i="2"/>
  <c r="C32" i="2"/>
  <c r="E31" i="2"/>
  <c r="D31" i="2"/>
  <c r="Q8" i="2" l="1"/>
  <c r="H24" i="2"/>
  <c r="Q7" i="2"/>
  <c r="Q6" i="2" l="1"/>
  <c r="Q5" i="2" s="1"/>
  <c r="Q11" i="2"/>
  <c r="C31" i="2"/>
  <c r="B31" i="2"/>
</calcChain>
</file>

<file path=xl/sharedStrings.xml><?xml version="1.0" encoding="utf-8"?>
<sst xmlns="http://schemas.openxmlformats.org/spreadsheetml/2006/main" count="623" uniqueCount="289">
  <si>
    <t>Nemzetközi képesítések</t>
  </si>
  <si>
    <t>Matróz</t>
  </si>
  <si>
    <t>Matróz-gépkezelő</t>
  </si>
  <si>
    <t>Fedélzetmester</t>
  </si>
  <si>
    <t>Szolgálati célú kisgéphajó vezető</t>
  </si>
  <si>
    <t>Hivatásos kisgéphajó vezető</t>
  </si>
  <si>
    <t>Hivatásos vitorlás kishajó vezető</t>
  </si>
  <si>
    <t>Úszómunkagép vezető</t>
  </si>
  <si>
    <t>Gépnélküli hajóvezető</t>
  </si>
  <si>
    <t>Révész</t>
  </si>
  <si>
    <t>"C" kategóriájú hajóvezető</t>
  </si>
  <si>
    <t>Belvízi kedvtelési célú kishajó-vezető</t>
  </si>
  <si>
    <t>Gyakornok (EU)</t>
  </si>
  <si>
    <t>Tanuló matróz (EU)</t>
  </si>
  <si>
    <t>Matróz (EU)</t>
  </si>
  <si>
    <t>Képesített matróz (EU)</t>
  </si>
  <si>
    <t>Kormányos (EU)</t>
  </si>
  <si>
    <t>Hajóvezető (EU)</t>
  </si>
  <si>
    <t>Személyhajózási szakember (EU)</t>
  </si>
  <si>
    <t>Veszélyes áru szállítási (ADN) szakértő</t>
  </si>
  <si>
    <t>Belvízi hajózási rádiótelefon kezelő</t>
  </si>
  <si>
    <t>Hajózási üzemeltetési vezető</t>
  </si>
  <si>
    <t>VV II. Ausztria (Duna)</t>
  </si>
  <si>
    <t>VV II. Magyarország (Duna és Tisza)</t>
  </si>
  <si>
    <t>VV II. Németország (Duna)</t>
  </si>
  <si>
    <t>VV II. Rajna</t>
  </si>
  <si>
    <t>Gépész</t>
  </si>
  <si>
    <t>Gépkezelő</t>
  </si>
  <si>
    <t>Géptiszt</t>
  </si>
  <si>
    <t>A képesítések helyettesíthetőségének szabályai</t>
  </si>
  <si>
    <t>Gépüzemi képesítések</t>
  </si>
  <si>
    <t>Vonalvizsgák</t>
  </si>
  <si>
    <t>Belvízi kedvtelési célú kishajó vezető</t>
  </si>
  <si>
    <t>Megszerezni kívánt képesítések kiválasztása</t>
  </si>
  <si>
    <t>Már meglévő képesítések kiválasztása</t>
  </si>
  <si>
    <t>Szükséges gyakorlati idő</t>
  </si>
  <si>
    <t>Nincs előírva</t>
  </si>
  <si>
    <t>Vizsgatárgyak</t>
  </si>
  <si>
    <t>Hajózási szabályzat (kedvtelési szint)</t>
  </si>
  <si>
    <t>Hajózási ismeretek – kisgéphajó</t>
  </si>
  <si>
    <t>Hajózási ismeretek – vitorlás kishajó</t>
  </si>
  <si>
    <t>Gyakorlati vizsga - kisgéphajó</t>
  </si>
  <si>
    <t>Gyakorlati vizsga - vitorlás kishajó</t>
  </si>
  <si>
    <t>Vizsgadíj összesen</t>
  </si>
  <si>
    <t>Szóbeli vizsga díja</t>
  </si>
  <si>
    <t>Írásbeli vizsga díja</t>
  </si>
  <si>
    <t>Esettanulmány vizsga díja</t>
  </si>
  <si>
    <t>Gyakorlati vizsga díja</t>
  </si>
  <si>
    <t>Biztonsági kártyaokmány díja</t>
  </si>
  <si>
    <t>Képesítés bejegyzése szolgálati könyvbe</t>
  </si>
  <si>
    <t>Szolgálati könyv kiállítási díja</t>
  </si>
  <si>
    <t>A kizárólag magyar vízterületeken közlekedő úszólétesítmények fedélzetén matróz szolgálat ellátására jogosít.</t>
  </si>
  <si>
    <t>Teljesített feltételek</t>
  </si>
  <si>
    <t>A hajós szolgálati könyvbe történő bejegyzéshez előírt feltételek:</t>
  </si>
  <si>
    <t xml:space="preserve">Képesítés bejegyzésére vonatkozó írásos kérelem </t>
  </si>
  <si>
    <t>Érvényes HSZK megléte</t>
  </si>
  <si>
    <t>Érvényes , fedélzeti szolgálatra szóló egészségi alkalmasság igazolása</t>
  </si>
  <si>
    <t>Díj befizetésének igazolása</t>
  </si>
  <si>
    <t>Képesítés bejegyzés díja</t>
  </si>
  <si>
    <t>Képesítés bejegyzés díja:</t>
  </si>
  <si>
    <t>az Európai Unió víziútrendszerével összeköttetésben nem lévő vízterületeken magyar lobogó alatt közlekedő hajók fedélzetén</t>
  </si>
  <si>
    <t>Képesített matróz képesítés</t>
  </si>
  <si>
    <t>Az okmánykiállításhoz előírt feltételek:</t>
  </si>
  <si>
    <t xml:space="preserve">Írásos kérelem </t>
  </si>
  <si>
    <t>Meglévő képesítések, kiválasztása</t>
  </si>
  <si>
    <t>Egyéb vizsgajelentkezési feltételek</t>
  </si>
  <si>
    <t>Hajózási szabályzat IV.</t>
  </si>
  <si>
    <t>Hajó-vezetéstan IV.</t>
  </si>
  <si>
    <t>Hajózási földrajz, vízrajz, meteorológia I.</t>
  </si>
  <si>
    <t>Hajóelmélet, a hajók szerkezete és építése, hajógéptan</t>
  </si>
  <si>
    <t>Jogi ismeretek és képesítési rendelet</t>
  </si>
  <si>
    <t>Elsősegély-nyújtási, környezet és tűzvédelmi ismeretek</t>
  </si>
  <si>
    <t>Gyakorlati vizsga</t>
  </si>
  <si>
    <t>Betöltött 18. életév</t>
  </si>
  <si>
    <t>Érvényes, fedélzeti szolgálatra szóló egészségi alkalmasság igazolása</t>
  </si>
  <si>
    <t>A díj befizetésének igazolása</t>
  </si>
  <si>
    <t>A vizsgára jelentkező személynek, ha az adott vizsgához előírt fedélzeti gyakorlatnak megfelelő időtartamú gépüzemi szolgálatot tud igazolni, a fedélzeti szolgálati időnek csak felét kell teljesítenie.</t>
  </si>
  <si>
    <t>Vitorlázás elmélet</t>
  </si>
  <si>
    <t>Okmánydíj</t>
  </si>
  <si>
    <t>Hajózási szabályzat III.</t>
  </si>
  <si>
    <t>Hajóvezetéstan III.</t>
  </si>
  <si>
    <t>A hajózási képesítésekről szóló rendelet ismerete (d)</t>
  </si>
  <si>
    <t>Fedélzeti szolgálatban eltöltött 9 havi gyakorlat, amelynek legalább a felét úszómunkagépen kell eltölteni</t>
  </si>
  <si>
    <t>ADN szabályzat, kereskedelmi és rakodástechnikai ismeretek</t>
  </si>
  <si>
    <t>Fedélzeti gépek ismerete</t>
  </si>
  <si>
    <t>A hajózási képesítésekről szóló rendelet ismerete</t>
  </si>
  <si>
    <t>Írásos vizsgajelentkezési/felmentési kérelem</t>
  </si>
  <si>
    <t>A vizsgatárgyakat tartalmazó képzésen való részvétel igazolása</t>
  </si>
  <si>
    <t>Hajózási szabályzat II.</t>
  </si>
  <si>
    <t>Hajó-vezetéstan II.</t>
  </si>
  <si>
    <t>Átkelőhely ismerete</t>
  </si>
  <si>
    <t>Gyakorlati vizsga €</t>
  </si>
  <si>
    <t>Nincs előírva gyakorlati idő</t>
  </si>
  <si>
    <t>Érvényes egészségi alkalmasság igazolás</t>
  </si>
  <si>
    <t>Belvízi hajózási rádiótelefon kezelő képesítés megléte</t>
  </si>
  <si>
    <t>Hajózási szabályzat V.</t>
  </si>
  <si>
    <t>Hajó-vezetéstan V.</t>
  </si>
  <si>
    <t>Hajózási földrajz, vízrajz, meteorológia II.</t>
  </si>
  <si>
    <t>Hajózási üzemeltetési ismeretek</t>
  </si>
  <si>
    <t>Hajóradar ismeretek</t>
  </si>
  <si>
    <t>Válasszon vizsga típust</t>
  </si>
  <si>
    <t xml:space="preserve">A szakértőnek legalább 18 évesnek kell lennie (8.2.1.1). </t>
  </si>
  <si>
    <t>Írásos vizsgajelentkezési kérelem</t>
  </si>
  <si>
    <t>Vizsgadíj befizetésének igazolása</t>
  </si>
  <si>
    <t>Egyéb információk</t>
  </si>
  <si>
    <t xml:space="preserve">A vizsgázó személyazonosságának igazolására a vizsga megkezdése előtt a jelölt személyi azonosító okmányát be kell mutatnia (8.2.2.7.1.6). </t>
  </si>
  <si>
    <t>Az alapképzést követően a képzés befejezését követő hat hónapon belül vizsgát kell
tenni. Ha a jelölt sikertelen vizsgát tett, ezt a vizsgát a hat hónapos időtartam alatt
kétszer megismételheti újabb alaptanfolyam elvégzése nélkül. (8.2.2.7.1.1) .</t>
  </si>
  <si>
    <t>Az ismeretfelújító tanfolyam végén a a tanfolyamszervezőnek tesztvizsgát kell tartani (8.2.2.7.3.1).  A tesztvizsgát a Veszélyes Áruk Nemzetközi Belvízi Szállításáról szóló Európai Megállapodáshoz (ADN) csatolt Szabályzat belföldi alkalmazásáról szóló 26/2017. (VII. 5.) NFM rendelet 1. melléklete, 10. pontja alapján, a hajózási hatóság által delegált vizsgabizottság előtt kell megtartani.</t>
  </si>
  <si>
    <t>Az új bizonyítvány érvényességi ideje az előző bizonyítvány lejártával kezdődik. Ha a
vizsgára a bizonyítvány lejártát megelőzően egy évnél korábban került sor, az
érvényesség a tanfolyamon való részvételt igazoló időpontban kezdődik (8.2.2.8.4.).</t>
  </si>
  <si>
    <r>
      <t xml:space="preserve">Öt év eltelte után az illetékes hatóságnak vagy az általa elismert szervezetnek meg kell újítania a bizonyítványt, </t>
    </r>
    <r>
      <rPr>
        <b/>
        <i/>
        <sz val="11"/>
        <color rgb="FFFF0000"/>
        <rFont val="Calibri"/>
        <family val="2"/>
        <charset val="238"/>
        <scheme val="minor"/>
      </rPr>
      <t xml:space="preserve">ha a szakértő igazolja, hogy a bizonyítvány érvényességének utolsó évében ismeretfelújító tanfolyamon vett részt (8.2.1.4). </t>
    </r>
  </si>
  <si>
    <r>
      <rPr>
        <b/>
        <i/>
        <sz val="11"/>
        <color rgb="FFFF0000"/>
        <rFont val="Calibri"/>
        <family val="2"/>
        <charset val="238"/>
        <scheme val="minor"/>
      </rPr>
      <t>A bizonyítvány érvényességi időtartama alatt két ismétlő vizsga tehető.</t>
    </r>
    <r>
      <rPr>
        <b/>
        <i/>
        <sz val="11"/>
        <color theme="1"/>
        <rFont val="Calibri"/>
        <family val="2"/>
        <charset val="238"/>
        <scheme val="minor"/>
      </rPr>
      <t xml:space="preserve"> Ha a két ismétlő vizsga sikertelen volt, a bizonyítvány érvényességi időtartamán belül az ismeretfelújító tanfolyam megismételhető (8.2.1.4.).</t>
    </r>
  </si>
  <si>
    <r>
      <rPr>
        <b/>
        <sz val="11"/>
        <color rgb="FFFF0000"/>
        <rFont val="Calibri"/>
        <family val="2"/>
        <charset val="238"/>
        <scheme val="minor"/>
      </rPr>
      <t>ALAPVIZSGA:</t>
    </r>
    <r>
      <rPr>
        <sz val="11"/>
        <color theme="1"/>
        <rFont val="Calibri"/>
        <family val="2"/>
        <charset val="238"/>
        <scheme val="minor"/>
      </rPr>
      <t xml:space="preserve"> tarályhajó és/vagy szárazáru szállító hajó</t>
    </r>
  </si>
  <si>
    <r>
      <rPr>
        <b/>
        <sz val="11"/>
        <color rgb="FFFF0000"/>
        <rFont val="Calibri"/>
        <family val="2"/>
        <charset val="238"/>
        <scheme val="minor"/>
      </rPr>
      <t>ISMERET FELÚJÍTÓ VIZSGA:</t>
    </r>
    <r>
      <rPr>
        <sz val="11"/>
        <color theme="1"/>
        <rFont val="Calibri"/>
        <family val="2"/>
        <charset val="238"/>
        <scheme val="minor"/>
      </rPr>
      <t xml:space="preserve"> tartályhajó és/vagy szárazáru szállító hajó</t>
    </r>
  </si>
  <si>
    <t>Érvényes HSZK vagy nyilatkozat úszni tudásról</t>
  </si>
  <si>
    <t>Vizsga</t>
  </si>
  <si>
    <t>1.1. Jogi ismeretek</t>
  </si>
  <si>
    <t>1.2. Kereskedelmi, adózási és számviteli ismeretek</t>
  </si>
  <si>
    <t>1.3. Piacra jutási ismeretek</t>
  </si>
  <si>
    <t>1.4. Hajózási műszaki és üzemviteli ismeretek</t>
  </si>
  <si>
    <t>1.5. Hajózásbiztonsági és környezetvédelmi ismeretek</t>
  </si>
  <si>
    <t>2.1. Belvízi hajózási tevékenység</t>
  </si>
  <si>
    <t>2.2. Tengeri hajózási tevékenység</t>
  </si>
  <si>
    <t>1. Általános vállalkozási ismeretek</t>
  </si>
  <si>
    <t>2. Számviteli és adózási ismeretek</t>
  </si>
  <si>
    <t xml:space="preserve">3. Munkáltatói ismeretek </t>
  </si>
  <si>
    <t>4. KISHAJÓ hajózási vállalkozási ismeretek</t>
  </si>
  <si>
    <t>4. KOMP hajózási vállalkozási ismeretek</t>
  </si>
  <si>
    <t>4. ÚSZÓMUNKAGÉP hajózási vállalkozási ismeretek</t>
  </si>
  <si>
    <t>4. EGYÉB ÚSZÓLÉTESÍTMÉNY hajózási vállalkozási ismeretek</t>
  </si>
  <si>
    <t>A rész</t>
  </si>
  <si>
    <t>B rész</t>
  </si>
  <si>
    <t>Meglévő képesítések</t>
  </si>
  <si>
    <t>Hajó fő és segédmotorok üzemtana és vezérlése I.</t>
  </si>
  <si>
    <t>Hajó gépüzemi segédberendezések üzemtana, csőrendszerek</t>
  </si>
  <si>
    <t>Fedélzeti és rakodógépek, kormányrendszerek üzemtana</t>
  </si>
  <si>
    <t>Hajók szerkezete és építése I.</t>
  </si>
  <si>
    <t>Villamos gépek, elektromos berendezések üzemtana</t>
  </si>
  <si>
    <t>Szakrajzi ismeretek</t>
  </si>
  <si>
    <t>Elsősegélynyújtási, környezet-, tűzvédelmi és biztonságtechnikai ismeretek</t>
  </si>
  <si>
    <t>Hajózási képesítésekről szóló rendelet</t>
  </si>
  <si>
    <t>Hajókazánok elméleti, gyakorlati és üzembiztonsági ismeretei</t>
  </si>
  <si>
    <t>Érvényes HSZK</t>
  </si>
  <si>
    <t>Gépüzemi szolgálatra szóló egészségi alkalmasság igazolása</t>
  </si>
  <si>
    <t>Ha a jelölt hajózási gépészeti vagy villamossági szakképzésben, valamint felsőoktatásban szerzett képesítő bizonyítvánnyal, oklevéllel rendelkezik, akkor kérelmére a képesítés megszerzésénél a vizsgaközpont az elméleti vizsga letétele alól részben vagy egészben mentesítést adhat.</t>
  </si>
  <si>
    <t>Hajó fő és segédmotorok üzemtana és vezérlése II.</t>
  </si>
  <si>
    <t>Gépalkatrészek német vagy angol elnevezése</t>
  </si>
  <si>
    <t>Gőzgépek, turbinák és kazánok üzemtana</t>
  </si>
  <si>
    <t>Hajók szerkezete és építése II.</t>
  </si>
  <si>
    <t>Hajóvillamosságtan, elektronika és automatika</t>
  </si>
  <si>
    <t>Szüksées gyakorlati idő</t>
  </si>
  <si>
    <t>Gépészeti szolgálatra szóló egészségi alkalmasság igazolása</t>
  </si>
  <si>
    <t>Ha a jelölt hajózási gépészeti vagy villamossági szakképzésben, valamint felsőoktatásban szerzett képesítő bizonyítvánnyal, oklevéllel rendelkezik, akkor kérelmére a képesítés megszerzésénél a vizsgaközpont az elméleti vizsga letétele alól részben vagy egészben mentesítést adhat.
Hajózási szakképzésben szerzett képesítő bizonyítványként azt a képesítő okmányt lehet elfogadni, amelyet olyan oktatási intézmény adott ki, amelynek tanterve a hajózási hatóság által jóváhagyott szakmai oktatási programot tartalmazza.</t>
  </si>
  <si>
    <t>Ha a jelölt hajózási gépészeti vagy villamossági szakképzésben, valamint felsőoktatásban szerzett képesítő bizonyítvánnyal, oklevéllel rendelkezik, akkor kérelmére a képesítés megszerzésénél a vizsgaközpont az elméleti vizsga letétele alól részben vagy egészben mentesítést adhat.
Hajózási szakképzésben szerzett képesítő bizonyítványként azt a képesítő okmányt lehet elfogadni, amelyet olyan oktatási intézmény adott ki, amelynek tanterve a hajózási hatóság által jóváhagyott szakmai oktatási programot tartalmazza.
A vizsgaközpont ebben az esetben összeveti a bemutatott képesítés megszerzése során a megszerezni kívánt képesítés vizsgaelemeinek megfeleltethető tantárgyak óraszámát és képzés szintjét és ennek alapján dönt arról, hogy egyes vizsgaelemek vagy a teljes vizsga alól mentesíti a kérelmezőt.</t>
  </si>
  <si>
    <t>Betöltött 16. életév</t>
  </si>
  <si>
    <t>A biztonsági alapképzés elvégzéséről szóló igazolás</t>
  </si>
  <si>
    <t>Érvényes, a bizonyítvány igénylésének napját megelőző 3 hónapon belül kiállított, fedélzeti szolgálatra szóló egészségi alkalmasság igazolása</t>
  </si>
  <si>
    <t>Tanuló Matróz (EU)</t>
  </si>
  <si>
    <t>Képesítés bejegyzési kérelem</t>
  </si>
  <si>
    <t>Személyazonosság igazolása</t>
  </si>
  <si>
    <t>Betöltött 15. életév</t>
  </si>
  <si>
    <t>Jóváhagyott képzési program teljesítését előíró tanulószerződés bemutatása.</t>
  </si>
  <si>
    <t>Feltételek</t>
  </si>
  <si>
    <t>Képzőszerv</t>
  </si>
  <si>
    <t>Üzemeltetési szintű elméleti vizsga</t>
  </si>
  <si>
    <t>Kompetenciák értékelése veszteglő hajó fedélzetén</t>
  </si>
  <si>
    <t>Kompetenciák értékelése menetben lévő hajó fedélzetén</t>
  </si>
  <si>
    <t>Az úszástudás mentési célból történő alkalmazásának demonstrálása gyakorlati kompetenciák</t>
  </si>
  <si>
    <t>Vizsgaközpont</t>
  </si>
  <si>
    <t>Képesített matróz</t>
  </si>
  <si>
    <t>A fenti vizsgatárgyak teljesítettnek tekinthetők a Hajózási Hatóság által jóváhagyott képzési programok során vagy a Hajózási Hatóság által elismert szervezetek tanfolyamai keretében megtörtént kompetenciafelmérések eredményéről kiadott igazolások, a vezetett fedélzeti oktatási napló adatai alapján.</t>
  </si>
  <si>
    <t>Érvényes HSZK megléte/A képesítés bejegyzéséhez UNIÓS HSZK megléte</t>
  </si>
  <si>
    <t>Kormányos</t>
  </si>
  <si>
    <t>Rádiókezelő bizonyítvány</t>
  </si>
  <si>
    <t>Hajóvezető</t>
  </si>
  <si>
    <t>További izagolások</t>
  </si>
  <si>
    <t>Hajózási Szabályzat</t>
  </si>
  <si>
    <t>Hajóvezetéstan</t>
  </si>
  <si>
    <t>I. kat. Kompetenciák</t>
  </si>
  <si>
    <t>II. kategóriájú kompetenciák</t>
  </si>
  <si>
    <t>Esettanulmány</t>
  </si>
  <si>
    <t>Az utazás megvalósítása</t>
  </si>
  <si>
    <t>Hajóvezető képesítés megszerzésének és a bizonyítvány kiállításának feltételei</t>
  </si>
  <si>
    <t>Rádiókezelő bizonyítvány megléte</t>
  </si>
  <si>
    <t>továbbá</t>
  </si>
  <si>
    <r>
      <t xml:space="preserve">Érvényes, a </t>
    </r>
    <r>
      <rPr>
        <b/>
        <i/>
        <sz val="11"/>
        <color rgb="FFFF0000"/>
        <rFont val="Calibri"/>
        <family val="2"/>
        <charset val="238"/>
        <scheme val="minor"/>
      </rPr>
      <t>bizonyítvány igénylésének napját</t>
    </r>
    <r>
      <rPr>
        <b/>
        <i/>
        <sz val="11"/>
        <color theme="1"/>
        <rFont val="Calibri"/>
        <family val="2"/>
        <charset val="238"/>
        <scheme val="minor"/>
      </rPr>
      <t xml:space="preserve"> megelőző 3 hónapon belül kiállított, fedélzeti szolgálatra szóló egészségi alkalmasság igazolása</t>
    </r>
  </si>
  <si>
    <t>Elméleti vizsga</t>
  </si>
  <si>
    <t>Kiegészítő modul</t>
  </si>
  <si>
    <t>Utazás tervezés</t>
  </si>
  <si>
    <t>Utazás megvalósítás</t>
  </si>
  <si>
    <t>A Duna osztrák szakaszaira vonatkozó vonalvizsga</t>
  </si>
  <si>
    <t>Egyéb vizsgajelentkezési, okmányigénylési feltételek</t>
  </si>
  <si>
    <t>Vonalszakaszok</t>
  </si>
  <si>
    <t>2074-2081 fkm közötti Duna szakasz (Struden) vonalvizsgája</t>
  </si>
  <si>
    <t>2001-2022 fkm közötti Duna szakasz (Wachau) vonalvizsgája</t>
  </si>
  <si>
    <t>1880-1920 fkm közötti Duna szakasz (Bécsi Duna) vonalvizsgája</t>
  </si>
  <si>
    <t>Írásos vizsgajelentkezési kérelem és okmányigénylés</t>
  </si>
  <si>
    <t>UNIÓS hajóvezetői bizonyítvány megléte, vagy 
A vagy B kategóriájú hajóvezetői bizonyítvány megléte, vagy
a hajóvezetők számára szükséges uniós képesítő bizonyítványok megszerzéséhez a jogszabály által meghatározott minimumkövetelményeket teljesítése</t>
  </si>
  <si>
    <t>2 db színes igazolványkép okmányigényléshez</t>
  </si>
  <si>
    <t>A vizsgát megelőző 10 év során, legalább 8 hegymeneti és 8 völgymeneti út igazolt megtétele a teljes szakaszon (a 2017/2397 irányelv hatálya alá tartozó vízijárművön, fedélzeti személyzet tagjaként)</t>
  </si>
  <si>
    <t>A 8 hegymeneti és 8 völgymeneti útból legalább hármat a vizsgát megelőző 3 évben kell megtenni</t>
  </si>
  <si>
    <t>További információk a vizsgával kapcsolatban:</t>
  </si>
  <si>
    <t>Vonalvizsga csak teljes szakaszokra tehető.</t>
  </si>
  <si>
    <t>A Duna és a Tisza magyar szakaszaira vonatkozó vonalvizsga</t>
  </si>
  <si>
    <t>Megszerezni kívánt vonalszakasz kiválasztása</t>
  </si>
  <si>
    <t>A vizsgát megelőző 10 év során, legalább 8 hegymeneti és 8 völgymeneti út igazolt megtétele a teljes szakaszon (matróz vagy magasabb beosztásban, nagyhajón, vagy személyhajón teljesítve)</t>
  </si>
  <si>
    <t>UNIÓS hajóvezetői bizonyítvány megléte, vagy 
A vagy B vagy C kategóriájú hajóvezetői képesítés megléte, vagy
a hajóvezetők számára szükséges uniós képesítő bizonyítványok megszerzéséhez a jogszabály által meghatározott minimumkövetelményeket teljesítése.</t>
  </si>
  <si>
    <t>2 db színes igazolványkép</t>
  </si>
  <si>
    <r>
      <t xml:space="preserve">1811-1766 fkm közötti Duna szakasz </t>
    </r>
    <r>
      <rPr>
        <b/>
        <sz val="11"/>
        <color theme="1"/>
        <rFont val="Calibri"/>
        <family val="2"/>
        <charset val="238"/>
        <scheme val="minor"/>
      </rPr>
      <t>tesztvizsga</t>
    </r>
  </si>
  <si>
    <r>
      <t xml:space="preserve">1766-1708 fkm közötti Duna szakasz </t>
    </r>
    <r>
      <rPr>
        <b/>
        <sz val="11"/>
        <color theme="1"/>
        <rFont val="Calibri"/>
        <family val="2"/>
        <charset val="238"/>
        <scheme val="minor"/>
      </rPr>
      <t>tesztvizsga</t>
    </r>
  </si>
  <si>
    <r>
      <t xml:space="preserve">1708-1660 fkm közötti Duna szakasz </t>
    </r>
    <r>
      <rPr>
        <b/>
        <sz val="11"/>
        <color theme="1"/>
        <rFont val="Calibri"/>
        <family val="2"/>
        <charset val="238"/>
        <scheme val="minor"/>
      </rPr>
      <t>tesztvizsga</t>
    </r>
  </si>
  <si>
    <r>
      <t>1708-1660 fkm közötti Duna szakasz</t>
    </r>
    <r>
      <rPr>
        <b/>
        <sz val="11"/>
        <color theme="1"/>
        <rFont val="Calibri"/>
        <family val="2"/>
        <charset val="238"/>
        <scheme val="minor"/>
      </rPr>
      <t xml:space="preserve"> szóbeli vizsga</t>
    </r>
  </si>
  <si>
    <r>
      <t xml:space="preserve">1660-1640 fkm közötti Duna szakasz </t>
    </r>
    <r>
      <rPr>
        <b/>
        <sz val="11"/>
        <color theme="1"/>
        <rFont val="Calibri"/>
        <family val="2"/>
        <charset val="238"/>
        <scheme val="minor"/>
      </rPr>
      <t>tesztvizsga</t>
    </r>
  </si>
  <si>
    <r>
      <t xml:space="preserve">1660-1640 fkm közötti Duna szakasz </t>
    </r>
    <r>
      <rPr>
        <b/>
        <sz val="11"/>
        <color theme="1"/>
        <rFont val="Calibri"/>
        <family val="2"/>
        <charset val="238"/>
        <scheme val="minor"/>
      </rPr>
      <t>szóbeli vizsga</t>
    </r>
  </si>
  <si>
    <r>
      <t xml:space="preserve">1640-1578 fkm közötti Duna szakasz </t>
    </r>
    <r>
      <rPr>
        <b/>
        <sz val="11"/>
        <color theme="1"/>
        <rFont val="Calibri"/>
        <family val="2"/>
        <charset val="238"/>
        <scheme val="minor"/>
      </rPr>
      <t>tesztvizsga</t>
    </r>
  </si>
  <si>
    <r>
      <t xml:space="preserve">1640-1578 fkm közötti Duna szakasz </t>
    </r>
    <r>
      <rPr>
        <b/>
        <sz val="11"/>
        <color theme="1"/>
        <rFont val="Calibri"/>
        <family val="2"/>
        <charset val="238"/>
        <scheme val="minor"/>
      </rPr>
      <t>szóbeli vizsga</t>
    </r>
  </si>
  <si>
    <r>
      <t xml:space="preserve">1578-1479 fkm közötti Duna szakasz </t>
    </r>
    <r>
      <rPr>
        <b/>
        <sz val="11"/>
        <color theme="1"/>
        <rFont val="Calibri"/>
        <family val="2"/>
        <charset val="238"/>
        <scheme val="minor"/>
      </rPr>
      <t>tesztvizsga</t>
    </r>
  </si>
  <si>
    <r>
      <t xml:space="preserve">1578-1479 fkm közötti Duna szakasz </t>
    </r>
    <r>
      <rPr>
        <b/>
        <sz val="11"/>
        <color theme="1"/>
        <rFont val="Calibri"/>
        <family val="2"/>
        <charset val="238"/>
        <scheme val="minor"/>
      </rPr>
      <t>szóbeli vizsga</t>
    </r>
  </si>
  <si>
    <r>
      <t xml:space="preserve">1479-1433 fkm közötti Duna szakasz </t>
    </r>
    <r>
      <rPr>
        <b/>
        <sz val="11"/>
        <color theme="1"/>
        <rFont val="Calibri"/>
        <family val="2"/>
        <charset val="238"/>
        <scheme val="minor"/>
      </rPr>
      <t>tesztvizsga</t>
    </r>
  </si>
  <si>
    <r>
      <t xml:space="preserve">1479-1433 fkm közötti Duna szakasz </t>
    </r>
    <r>
      <rPr>
        <b/>
        <sz val="11"/>
        <color theme="1"/>
        <rFont val="Calibri"/>
        <family val="2"/>
        <charset val="238"/>
        <scheme val="minor"/>
      </rPr>
      <t>szóbeli vizsga</t>
    </r>
  </si>
  <si>
    <r>
      <t xml:space="preserve">403-333 fkm közötti Tisza szakasz </t>
    </r>
    <r>
      <rPr>
        <b/>
        <sz val="11"/>
        <color theme="1"/>
        <rFont val="Calibri"/>
        <family val="2"/>
        <charset val="238"/>
        <scheme val="minor"/>
      </rPr>
      <t>tesztvizsga</t>
    </r>
  </si>
  <si>
    <r>
      <t xml:space="preserve">333-255 fkm közötti Tiszaa szakasz </t>
    </r>
    <r>
      <rPr>
        <b/>
        <sz val="11"/>
        <color theme="1"/>
        <rFont val="Calibri"/>
        <family val="2"/>
        <charset val="238"/>
        <scheme val="minor"/>
      </rPr>
      <t>tesztvizsga</t>
    </r>
  </si>
  <si>
    <t>A Németországi Duna szakaszokra vonatkozó vonalvizsga</t>
  </si>
  <si>
    <t>A Németországi Duna szakaszokra vonatkozó vonalvizsga
A Duna 2249-2322 fkm közötti (Vilshofen-Straubing) szakasza</t>
  </si>
  <si>
    <t>A vizsgát megelőző 3 évben megvalósított, legalább 3 hegymeneti és 3 völgymeneti út megtétele a választott szakaszon</t>
  </si>
  <si>
    <t>Annak igazolása (nyilatkozat), hogy az utak során a jelölt a hajó kormányállásában tartózkodott, valamint legalább az egyik úton önállóan kormányozta a hajót és kezelte a meghajtó berendezést.</t>
  </si>
  <si>
    <t>UNIÓS hajóvezetői bizonyítvány megléte, vagy 
A vagy B kategóriájú hajóvezetői bizonyítvány megléte</t>
  </si>
  <si>
    <t>2249-2259 fkm közötti Duna szakasz</t>
  </si>
  <si>
    <t>2259-2269 fkm közötti Duna szakasz</t>
  </si>
  <si>
    <t>2269-2276 fkm közötti Duna szakasz</t>
  </si>
  <si>
    <t>2276-2284 fkm közötti Duna szakasz</t>
  </si>
  <si>
    <t>2284-2295 fkm közötti Duna szakasz</t>
  </si>
  <si>
    <t>2295-2305 fkm közötti Duna szakasz</t>
  </si>
  <si>
    <t>2305-2314 fkm közötti Duna szakasz</t>
  </si>
  <si>
    <t>2314-2322 fkm közötti Duna szakasz</t>
  </si>
  <si>
    <t>Rajna 335.66-425.00 fkm (Iffezheim - Mannheim)</t>
  </si>
  <si>
    <t>Rajna 498.45-592.00 fkm (Mainz - Koblenz)</t>
  </si>
  <si>
    <t>Egyénileg választott szakasz</t>
  </si>
  <si>
    <r>
      <t>Érvényes, a</t>
    </r>
    <r>
      <rPr>
        <b/>
        <i/>
        <sz val="11"/>
        <color rgb="FFFF0000"/>
        <rFont val="Calibri"/>
        <family val="2"/>
        <charset val="238"/>
        <scheme val="minor"/>
      </rPr>
      <t xml:space="preserve"> bizonyítvány igénylésének napját</t>
    </r>
    <r>
      <rPr>
        <b/>
        <i/>
        <sz val="11"/>
        <color theme="1"/>
        <rFont val="Calibri"/>
        <family val="2"/>
        <charset val="238"/>
        <scheme val="minor"/>
      </rPr>
      <t xml:space="preserve"> megelőző 3 hónapon belül kiállított, fedélzeti szolgálatra szóló egészségi alkalmasság igazolása</t>
    </r>
  </si>
  <si>
    <t>Tengeri jellegűnek minősített belvízi víziutakon történő hajózásra vonatkozó engedély (Vonalvizsga III)</t>
  </si>
  <si>
    <t>Már meglévő képesítések</t>
  </si>
  <si>
    <r>
      <t xml:space="preserve">Érvényes, a </t>
    </r>
    <r>
      <rPr>
        <b/>
        <i/>
        <sz val="11"/>
        <color rgb="FFFF0000"/>
        <rFont val="Calibri"/>
        <family val="2"/>
        <charset val="238"/>
        <scheme val="minor"/>
      </rPr>
      <t xml:space="preserve">bizonyítvány igénylésének napját </t>
    </r>
    <r>
      <rPr>
        <b/>
        <i/>
        <sz val="11"/>
        <color theme="1"/>
        <rFont val="Calibri"/>
        <family val="2"/>
        <charset val="238"/>
        <scheme val="minor"/>
      </rPr>
      <t>megelőző 3 hónapon belül kiállított, fedélzeti szolgálatra szóló egészségi alkalmasság igazolása</t>
    </r>
  </si>
  <si>
    <t>Tengeri navigációs elméleti ismeretek (tesztvizsga)</t>
  </si>
  <si>
    <t>Tengeri navigációs gyakorlati ismeretek (szóbeli vizsga)</t>
  </si>
  <si>
    <t>Radarhajós (EU)</t>
  </si>
  <si>
    <r>
      <t>Érvényes - UNIÓS okmány igényléséhez a</t>
    </r>
    <r>
      <rPr>
        <b/>
        <i/>
        <sz val="11"/>
        <color rgb="FFFF0000"/>
        <rFont val="Calibri"/>
        <family val="2"/>
        <charset val="238"/>
        <scheme val="minor"/>
      </rPr>
      <t xml:space="preserve"> bizonyítvány igénylésének napját</t>
    </r>
    <r>
      <rPr>
        <b/>
        <i/>
        <sz val="11"/>
        <color theme="1"/>
        <rFont val="Calibri"/>
        <family val="2"/>
        <charset val="238"/>
        <scheme val="minor"/>
      </rPr>
      <t xml:space="preserve"> megelőző 3 hónapon belül kiállított - fedélzeti szolgálatra szóló egészségi alkalmasság igazolása.</t>
    </r>
  </si>
  <si>
    <t>Radarhajós elméleti ismeretek</t>
  </si>
  <si>
    <t>Radarhajós gyakorlati ismeretek</t>
  </si>
  <si>
    <t>További információk</t>
  </si>
  <si>
    <t>Különleges engedély nagy kötelékek vezetésére (EU)</t>
  </si>
  <si>
    <t>Egyéb okmányigénylési feltételek</t>
  </si>
  <si>
    <t>Okmányigénylés</t>
  </si>
  <si>
    <t>Nagy kötelék: olyan tolt kötelék, amely esetében a kötelék teljes hossza és teljes szélessége szorzatának értéke legalább 7000 négyzetméter</t>
  </si>
  <si>
    <t>A szükséges hajózási idővel kapcsolatban meghatározott minimumkövetelmények igazoláshoz a hatóság (vizsgaközpont) elfogadja a hajónapló, vagy annak a hajóvezető által hitelesített másolatának benyújtását, vagy a hajós szolgálati könyvben igazolt - nagy köteléken teljesített - szolgálatot. Nem magyar lajstromban nyilvántartott hajó esetében a hatóság ( vizsgaközpont) bekérheti a hajóbizonyítvány másolatát is, amennyiben a vízi jármű műszaki paramétereire vonatkozó információk nem állnak rendelkezésre és hiteles nyilvános adatbázisból nem elérhetőek.</t>
  </si>
  <si>
    <t>A nagy kötelékek vezetésére jogosító hajóvezetői képesítés a kiállítástól számított 5 évig hatályos, melynek lejártát követően a vizsgaközpont kérelemre új képesítő okmányt állít ki.</t>
  </si>
  <si>
    <t>A hajós szolgálati könyvbe történő bejegyzéshez előírt feltételek</t>
  </si>
  <si>
    <t>További információk a vizsgával kapcsolatban</t>
  </si>
  <si>
    <t>A hajózási képesítések helyettesíthetősége fedélzeti szolgálatban</t>
  </si>
  <si>
    <t>A megjelölt képesítéssel a zöld háttérrel kiemelt képesítések helyettesíthetőek, illetve szolgálatok elláthatóak. (A 15/2001. (IV.27.) Kövim rendelet 5.számú melléklete alapján)</t>
  </si>
  <si>
    <t>Legalább 6 havi nagyhajón, vagy személyhajón szerzett hajózási gyakorlat</t>
  </si>
  <si>
    <t>Vizsgatásrgyak</t>
  </si>
  <si>
    <t>Személyhajózási elméleti ismeretek</t>
  </si>
  <si>
    <t>Személyhajózási gyakorlati ismeretek</t>
  </si>
  <si>
    <t>A személyhajózási szakértői képesítő bizonyítvány megújítását kérelmező személy új hatósági vizsgát tesz le a vizsgaközpontnál, vagy új - a hajózási hatóság által - jóváhagyott képzési programot végez el.</t>
  </si>
  <si>
    <t>Felmentés</t>
  </si>
  <si>
    <t>Nagy Kötelékek vezetésére vonatkozó különleges engedély (EU)</t>
  </si>
  <si>
    <t>Válassza ki a megszerezni/kiváltani kívánt képesítést!</t>
  </si>
  <si>
    <t>Radarhajós képesítés (EU)</t>
  </si>
  <si>
    <t>Egyéb képesítések</t>
  </si>
  <si>
    <t>Veszélyes áru szállítási szakértő (ADN)</t>
  </si>
  <si>
    <t>Nemzeti képesítések</t>
  </si>
  <si>
    <t>Kishajó vezetői képesítések</t>
  </si>
  <si>
    <t>Hivatásos képesítések</t>
  </si>
  <si>
    <t>Kedvtelési képesítések</t>
  </si>
  <si>
    <t>Tengeri jellegűnek minősített belvízi víziutakon történő hajózás (VV III)</t>
  </si>
  <si>
    <t>Nagyhajós  képesítések</t>
  </si>
  <si>
    <t>Hajózási üzemeltetési vezető (HÜV)</t>
  </si>
  <si>
    <r>
      <t xml:space="preserve">az Európai Unió víziútrendszerével összeköttetésben </t>
    </r>
    <r>
      <rPr>
        <b/>
        <i/>
        <sz val="11"/>
        <color rgb="FFFF0000"/>
        <rFont val="Calibri"/>
        <family val="2"/>
        <charset val="238"/>
        <scheme val="minor"/>
      </rPr>
      <t>nem</t>
    </r>
    <r>
      <rPr>
        <i/>
        <sz val="11"/>
        <color theme="1"/>
        <rFont val="Calibri"/>
        <family val="2"/>
        <charset val="238"/>
        <scheme val="minor"/>
      </rPr>
      <t xml:space="preserve"> lévő vízterületeken magyar lobogó alatt közlekedő hajók fedélzetén</t>
    </r>
  </si>
  <si>
    <t>Okmánykiállítási kérelem benyújtása</t>
  </si>
  <si>
    <t>2 év (2*180 nap) matrózi szolgálatban eltöltött hajózási gyakorlatot kell igazolni.</t>
  </si>
  <si>
    <t>Belvízi hajózásban 365 egymást követő napon belül legfeljebb 180 nap gyakorlati idő vehető figyelembe. A hajó karbantartási, telelési és várakozási ideje 60 nap időtartamig szolgálatban töltött időnek számít.</t>
  </si>
  <si>
    <r>
      <rPr>
        <b/>
        <sz val="11"/>
        <color rgb="FFFF0000"/>
        <rFont val="Calibri"/>
        <family val="2"/>
        <charset val="238"/>
        <scheme val="minor"/>
      </rPr>
      <t>Hajózási idő:</t>
    </r>
    <r>
      <rPr>
        <sz val="11"/>
        <color theme="1"/>
        <rFont val="Calibri"/>
        <family val="2"/>
        <charset val="238"/>
        <scheme val="minor"/>
      </rPr>
      <t xml:space="preserve"> az olyan napokban kifejezett és a hajózási hatóság által igazolt idő, amelyet a fedélzeti személyzet tagjai a vízi jármű útja során belvízi utakon a fedélzeten töltöttek, ideértve az aktív hajózási műveleteket igénylő kirakodási és berakodási tevékenységeket is.</t>
    </r>
  </si>
  <si>
    <r>
      <rPr>
        <sz val="11"/>
        <color rgb="FFFF0000"/>
        <rFont val="Calibri"/>
        <family val="2"/>
        <charset val="238"/>
        <scheme val="minor"/>
      </rPr>
      <t xml:space="preserve">Hajózási idő: </t>
    </r>
    <r>
      <rPr>
        <sz val="11"/>
        <color theme="1"/>
        <rFont val="Calibri"/>
        <family val="2"/>
        <charset val="238"/>
        <scheme val="minor"/>
      </rPr>
      <t>az olyan napokban kifejezett és a hajózási hatóság által igazolt idő, amelyet a fedélzeti személyzet tagjai a vízi jármű útja során belvízi utakon a fedélzeten töltöttek, ideértve az aktív hajózási műveleteket igénylő kirakodási és berakodási tevékenységeket is.</t>
    </r>
  </si>
  <si>
    <r>
      <rPr>
        <sz val="11"/>
        <color rgb="FFFF0000"/>
        <rFont val="Calibri"/>
        <family val="2"/>
        <charset val="238"/>
        <scheme val="minor"/>
      </rPr>
      <t>Hajózási idő:</t>
    </r>
    <r>
      <rPr>
        <sz val="11"/>
        <color theme="1"/>
        <rFont val="Calibri"/>
        <family val="2"/>
        <charset val="238"/>
        <scheme val="minor"/>
      </rPr>
      <t xml:space="preserve"> az olyan napokban kifejezett és a hajózási hatóság által igazolt idő, amelyet a fedélzeti személyzet tagjai a vízi jármű útja során belvízi utakon a fedélzeten töltöttek, ideértve az aktív hajózási műveleteket igénylő kirakodási és berakodási tevékenységeket is.</t>
    </r>
  </si>
  <si>
    <t>Számítógépes vizsgaelem</t>
  </si>
  <si>
    <t xml:space="preserve">	Teszt vizsgaelem</t>
  </si>
  <si>
    <t xml:space="preserve">	Képesítő okmány kiállítása</t>
  </si>
  <si>
    <r>
      <t xml:space="preserve">Az Európai Unió víziútrendszerével összeköttetésben </t>
    </r>
    <r>
      <rPr>
        <b/>
        <i/>
        <sz val="11"/>
        <color rgb="FFFF0000"/>
        <rFont val="Calibri"/>
        <family val="2"/>
        <charset val="238"/>
        <scheme val="minor"/>
      </rPr>
      <t>nem</t>
    </r>
    <r>
      <rPr>
        <b/>
        <i/>
        <sz val="11"/>
        <color theme="1"/>
        <rFont val="Calibri"/>
        <family val="2"/>
        <charset val="238"/>
        <scheme val="minor"/>
      </rPr>
      <t xml:space="preserve"> lévő vízterületeken magyar lobogó alatt közlekedő hajók fedélzetén</t>
    </r>
  </si>
  <si>
    <t>HSZK kiállítási díj:</t>
  </si>
  <si>
    <t>HSZK kiállítására vonatkozó kérelem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</si>
</sst>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6" formatCode="#,##0\ &quot;Ft&quot;;[Red]\-#,##0\ &quot;Ft&quot;"/>
    <numFmt numFmtId="43" formatCode="_-* #,##0.00\ _F_t_-;\-* #,##0.00\ _F_t_-;_-* &quot;-&quot;??\ _F_t_-;_-@_-"/>
    <numFmt numFmtId="164" formatCode="_-* #,##0\ [$Ft-40E]_-;\-* #,##0\ [$Ft-40E]_-;_-* &quot;-&quot;??\ [$Ft-40E]_-;_-@_-"/>
    <numFmt numFmtId="165" formatCode="#,##0\ [$Ft-40E];\-#,##0\ [$Ft-40E]"/>
    <numFmt numFmtId="166" formatCode="#,##0\ &quot;Ft&quot;"/>
  </numFmts>
  <fonts count="36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u/>
      <sz val="11"/>
      <color theme="9" tint="-0.249977111117893"/>
      <name val="Calibri"/>
      <family val="2"/>
      <charset val="238"/>
      <scheme val="minor"/>
    </font>
    <font>
      <sz val="8"/>
      <color rgb="FF000000"/>
      <name val="Tahoma"/>
      <family val="2"/>
      <charset val="238"/>
    </font>
    <font>
      <b/>
      <u/>
      <sz val="11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9"/>
      <color theme="1"/>
      <name val="Segoe UI"/>
      <family val="2"/>
      <charset val="238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u/>
      <sz val="14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b/>
      <u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i/>
      <sz val="11"/>
      <color rgb="FFFF000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8"/>
      <color rgb="FF000000"/>
      <name val="Segoe UI"/>
      <family val="2"/>
      <charset val="238"/>
    </font>
    <font>
      <b/>
      <sz val="16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i/>
      <sz val="16"/>
      <color theme="1"/>
      <name val="Calibri"/>
      <family val="2"/>
      <charset val="238"/>
      <scheme val="minor"/>
    </font>
    <font>
      <b/>
      <i/>
      <u/>
      <sz val="12"/>
      <color theme="1"/>
      <name val="Calibri"/>
      <family val="2"/>
      <charset val="238"/>
      <scheme val="minor"/>
    </font>
    <font>
      <b/>
      <u/>
      <sz val="12"/>
      <color rgb="FF00B0F0"/>
      <name val="Calibri"/>
      <family val="2"/>
      <charset val="238"/>
      <scheme val="minor"/>
    </font>
    <font>
      <b/>
      <i/>
      <sz val="14"/>
      <color theme="1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b/>
      <sz val="18"/>
      <color rgb="FFFF0000"/>
      <name val="Calibri"/>
      <family val="2"/>
      <charset val="238"/>
      <scheme val="minor"/>
    </font>
    <font>
      <i/>
      <u/>
      <sz val="12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sz val="11"/>
      <color theme="7" tint="-0.249977111117893"/>
      <name val="Calibri"/>
      <family val="2"/>
      <charset val="238"/>
      <scheme val="minor"/>
    </font>
    <font>
      <b/>
      <u/>
      <sz val="12"/>
      <color theme="7" tint="-0.249977111117893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</fills>
  <borders count="3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43" fontId="13" fillId="0" borderId="0" applyFont="0" applyFill="0" applyBorder="0" applyAlignment="0" applyProtection="0"/>
  </cellStyleXfs>
  <cellXfs count="370">
    <xf numFmtId="0" fontId="0" fillId="0" borderId="0" xfId="0"/>
    <xf numFmtId="0" fontId="10" fillId="0" borderId="0" xfId="0" applyFont="1"/>
    <xf numFmtId="0" fontId="3" fillId="0" borderId="0" xfId="0" applyFont="1"/>
    <xf numFmtId="0" fontId="6" fillId="0" borderId="0" xfId="0" applyFont="1"/>
    <xf numFmtId="0" fontId="4" fillId="0" borderId="0" xfId="1" applyFont="1" applyBorder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0" fillId="3" borderId="17" xfId="0" applyFill="1" applyBorder="1"/>
    <xf numFmtId="0" fontId="0" fillId="3" borderId="0" xfId="0" applyFill="1"/>
    <xf numFmtId="0" fontId="0" fillId="3" borderId="18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0" borderId="0" xfId="0" applyAlignment="1">
      <alignment vertical="center"/>
    </xf>
    <xf numFmtId="0" fontId="0" fillId="3" borderId="14" xfId="0" applyFill="1" applyBorder="1"/>
    <xf numFmtId="0" fontId="0" fillId="3" borderId="15" xfId="0" applyFill="1" applyBorder="1"/>
    <xf numFmtId="0" fontId="0" fillId="3" borderId="16" xfId="0" applyFill="1" applyBorder="1"/>
    <xf numFmtId="0" fontId="10" fillId="0" borderId="10" xfId="0" applyFont="1" applyBorder="1" applyAlignment="1">
      <alignment horizontal="center" vertical="center"/>
    </xf>
    <xf numFmtId="165" fontId="10" fillId="0" borderId="0" xfId="0" applyNumberFormat="1" applyFont="1" applyAlignment="1">
      <alignment horizontal="center" vertical="center"/>
    </xf>
    <xf numFmtId="0" fontId="0" fillId="0" borderId="0" xfId="0" applyAlignment="1">
      <alignment textRotation="90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 textRotation="90" wrapText="1"/>
    </xf>
    <xf numFmtId="0" fontId="13" fillId="0" borderId="0" xfId="0" applyFont="1"/>
    <xf numFmtId="0" fontId="13" fillId="0" borderId="0" xfId="0" applyFont="1" applyAlignment="1">
      <alignment horizontal="center"/>
    </xf>
    <xf numFmtId="0" fontId="13" fillId="2" borderId="14" xfId="0" applyFont="1" applyFill="1" applyBorder="1"/>
    <xf numFmtId="0" fontId="13" fillId="2" borderId="15" xfId="0" applyFont="1" applyFill="1" applyBorder="1"/>
    <xf numFmtId="0" fontId="13" fillId="2" borderId="16" xfId="0" applyFont="1" applyFill="1" applyBorder="1"/>
    <xf numFmtId="0" fontId="13" fillId="2" borderId="17" xfId="0" applyFont="1" applyFill="1" applyBorder="1"/>
    <xf numFmtId="0" fontId="13" fillId="2" borderId="0" xfId="0" applyFont="1" applyFill="1"/>
    <xf numFmtId="0" fontId="13" fillId="2" borderId="18" xfId="0" applyFont="1" applyFill="1" applyBorder="1"/>
    <xf numFmtId="0" fontId="13" fillId="2" borderId="11" xfId="0" applyFont="1" applyFill="1" applyBorder="1"/>
    <xf numFmtId="0" fontId="13" fillId="2" borderId="12" xfId="0" applyFont="1" applyFill="1" applyBorder="1"/>
    <xf numFmtId="0" fontId="13" fillId="2" borderId="13" xfId="0" applyFont="1" applyFill="1" applyBorder="1"/>
    <xf numFmtId="166" fontId="17" fillId="0" borderId="10" xfId="0" applyNumberFormat="1" applyFont="1" applyBorder="1" applyAlignment="1">
      <alignment horizontal="center" vertical="center"/>
    </xf>
    <xf numFmtId="165" fontId="11" fillId="0" borderId="10" xfId="0" applyNumberFormat="1" applyFont="1" applyBorder="1" applyAlignment="1">
      <alignment horizontal="center"/>
    </xf>
    <xf numFmtId="165" fontId="11" fillId="0" borderId="10" xfId="0" applyNumberFormat="1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6" fontId="14" fillId="0" borderId="0" xfId="0" applyNumberFormat="1" applyFont="1" applyAlignment="1">
      <alignment horizontal="center" vertical="center"/>
    </xf>
    <xf numFmtId="166" fontId="1" fillId="0" borderId="0" xfId="0" applyNumberFormat="1" applyFont="1" applyAlignment="1">
      <alignment vertical="center"/>
    </xf>
    <xf numFmtId="6" fontId="14" fillId="0" borderId="0" xfId="0" applyNumberFormat="1" applyFont="1" applyAlignment="1">
      <alignment vertical="center"/>
    </xf>
    <xf numFmtId="166" fontId="11" fillId="0" borderId="10" xfId="0" applyNumberFormat="1" applyFont="1" applyBorder="1" applyAlignment="1">
      <alignment horizontal="center" vertical="center"/>
    </xf>
    <xf numFmtId="6" fontId="3" fillId="0" borderId="10" xfId="0" applyNumberFormat="1" applyFont="1" applyBorder="1" applyAlignment="1">
      <alignment horizontal="center"/>
    </xf>
    <xf numFmtId="0" fontId="6" fillId="3" borderId="15" xfId="0" applyFont="1" applyFill="1" applyBorder="1" applyAlignment="1">
      <alignment vertical="center"/>
    </xf>
    <xf numFmtId="0" fontId="3" fillId="0" borderId="0" xfId="0" applyFont="1" applyAlignment="1">
      <alignment vertical="center"/>
    </xf>
    <xf numFmtId="0" fontId="10" fillId="0" borderId="10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22" fillId="0" borderId="0" xfId="0" applyFont="1"/>
    <xf numFmtId="0" fontId="22" fillId="0" borderId="10" xfId="0" applyFont="1" applyBorder="1" applyAlignment="1">
      <alignment horizontal="center" vertical="center" wrapText="1"/>
    </xf>
    <xf numFmtId="0" fontId="23" fillId="0" borderId="0" xfId="0" applyFont="1"/>
    <xf numFmtId="0" fontId="4" fillId="0" borderId="0" xfId="1" applyFont="1" applyAlignment="1">
      <alignment vertical="center"/>
    </xf>
    <xf numFmtId="6" fontId="0" fillId="0" borderId="0" xfId="0" applyNumberFormat="1" applyAlignment="1">
      <alignment vertical="center" wrapText="1"/>
    </xf>
    <xf numFmtId="6" fontId="31" fillId="0" borderId="10" xfId="0" applyNumberFormat="1" applyFont="1" applyBorder="1" applyAlignment="1">
      <alignment horizontal="center" vertical="center"/>
    </xf>
    <xf numFmtId="164" fontId="31" fillId="0" borderId="10" xfId="0" applyNumberFormat="1" applyFont="1" applyBorder="1"/>
    <xf numFmtId="0" fontId="11" fillId="0" borderId="10" xfId="0" applyFont="1" applyBorder="1" applyAlignment="1">
      <alignment horizontal="center" vertical="center"/>
    </xf>
    <xf numFmtId="0" fontId="11" fillId="0" borderId="10" xfId="0" applyFont="1" applyBorder="1"/>
    <xf numFmtId="166" fontId="11" fillId="0" borderId="10" xfId="2" applyNumberFormat="1" applyFont="1" applyBorder="1" applyAlignment="1">
      <alignment horizontal="center" vertical="center"/>
    </xf>
    <xf numFmtId="6" fontId="11" fillId="0" borderId="10" xfId="0" applyNumberFormat="1" applyFont="1" applyBorder="1" applyAlignment="1">
      <alignment horizontal="center" vertical="center"/>
    </xf>
    <xf numFmtId="164" fontId="31" fillId="0" borderId="10" xfId="0" applyNumberFormat="1" applyFont="1" applyBorder="1" applyAlignment="1">
      <alignment horizontal="center" vertical="center"/>
    </xf>
    <xf numFmtId="0" fontId="34" fillId="0" borderId="0" xfId="0" applyFont="1"/>
    <xf numFmtId="0" fontId="11" fillId="0" borderId="0" xfId="0" applyFont="1"/>
    <xf numFmtId="0" fontId="10" fillId="0" borderId="28" xfId="0" applyFont="1" applyBorder="1" applyAlignment="1">
      <alignment horizontal="center" vertical="center"/>
    </xf>
    <xf numFmtId="0" fontId="10" fillId="0" borderId="29" xfId="0" applyFont="1" applyBorder="1" applyAlignment="1">
      <alignment horizontal="center" vertical="center"/>
    </xf>
    <xf numFmtId="166" fontId="3" fillId="0" borderId="30" xfId="0" applyNumberFormat="1" applyFont="1" applyBorder="1" applyAlignment="1">
      <alignment horizontal="center" vertical="center"/>
    </xf>
    <xf numFmtId="166" fontId="3" fillId="0" borderId="31" xfId="0" applyNumberFormat="1" applyFont="1" applyBorder="1" applyAlignment="1">
      <alignment horizontal="center" vertical="center"/>
    </xf>
    <xf numFmtId="166" fontId="3" fillId="0" borderId="32" xfId="0" applyNumberFormat="1" applyFont="1" applyBorder="1" applyAlignment="1">
      <alignment horizontal="center" vertical="center"/>
    </xf>
    <xf numFmtId="0" fontId="13" fillId="0" borderId="0" xfId="0" applyFont="1" applyProtection="1">
      <protection locked="0"/>
    </xf>
    <xf numFmtId="0" fontId="8" fillId="0" borderId="0" xfId="0" applyFont="1" applyProtection="1">
      <protection locked="0"/>
    </xf>
    <xf numFmtId="0" fontId="0" fillId="0" borderId="0" xfId="0" applyProtection="1">
      <protection locked="0"/>
    </xf>
    <xf numFmtId="0" fontId="0" fillId="0" borderId="0" xfId="0" applyFill="1" applyBorder="1" applyProtection="1">
      <protection locked="0"/>
    </xf>
    <xf numFmtId="0" fontId="0" fillId="0" borderId="0" xfId="0" applyFill="1" applyBorder="1" applyAlignment="1" applyProtection="1">
      <alignment wrapText="1"/>
      <protection locked="0"/>
    </xf>
    <xf numFmtId="0" fontId="0" fillId="0" borderId="0" xfId="0" applyAlignment="1">
      <alignment horizontal="center"/>
    </xf>
    <xf numFmtId="0" fontId="24" fillId="0" borderId="1" xfId="0" applyFont="1" applyBorder="1" applyAlignment="1">
      <alignment horizontal="center"/>
    </xf>
    <xf numFmtId="0" fontId="24" fillId="0" borderId="2" xfId="0" applyFont="1" applyBorder="1" applyAlignment="1">
      <alignment horizontal="center"/>
    </xf>
    <xf numFmtId="0" fontId="24" fillId="0" borderId="3" xfId="0" applyFont="1" applyBorder="1" applyAlignment="1">
      <alignment horizontal="center"/>
    </xf>
    <xf numFmtId="0" fontId="9" fillId="0" borderId="0" xfId="0" applyFont="1" applyAlignment="1">
      <alignment horizontal="right" vertical="center" wrapText="1"/>
    </xf>
    <xf numFmtId="0" fontId="35" fillId="0" borderId="14" xfId="1" applyFont="1" applyFill="1" applyBorder="1" applyAlignment="1" applyProtection="1">
      <alignment horizontal="center" vertical="center"/>
      <protection locked="0"/>
    </xf>
    <xf numFmtId="0" fontId="35" fillId="0" borderId="15" xfId="1" applyFont="1" applyFill="1" applyBorder="1" applyAlignment="1" applyProtection="1">
      <alignment horizontal="center" vertical="center"/>
      <protection locked="0"/>
    </xf>
    <xf numFmtId="0" fontId="35" fillId="0" borderId="16" xfId="1" applyFont="1" applyFill="1" applyBorder="1" applyAlignment="1" applyProtection="1">
      <alignment horizontal="center" vertical="center"/>
      <protection locked="0"/>
    </xf>
    <xf numFmtId="0" fontId="35" fillId="0" borderId="11" xfId="1" applyFont="1" applyFill="1" applyBorder="1" applyAlignment="1" applyProtection="1">
      <alignment horizontal="center" vertical="center"/>
      <protection locked="0"/>
    </xf>
    <xf numFmtId="0" fontId="35" fillId="0" borderId="12" xfId="1" applyFont="1" applyFill="1" applyBorder="1" applyAlignment="1" applyProtection="1">
      <alignment horizontal="center" vertical="center"/>
      <protection locked="0"/>
    </xf>
    <xf numFmtId="0" fontId="35" fillId="0" borderId="13" xfId="1" applyFont="1" applyFill="1" applyBorder="1" applyAlignment="1" applyProtection="1">
      <alignment horizontal="center" vertical="center"/>
      <protection locked="0"/>
    </xf>
    <xf numFmtId="0" fontId="21" fillId="0" borderId="17" xfId="0" applyFont="1" applyBorder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21" fillId="0" borderId="18" xfId="0" applyFont="1" applyBorder="1" applyAlignment="1">
      <alignment horizontal="center" vertical="center"/>
    </xf>
    <xf numFmtId="0" fontId="21" fillId="0" borderId="11" xfId="0" applyFont="1" applyBorder="1" applyAlignment="1">
      <alignment horizontal="center" vertical="center"/>
    </xf>
    <xf numFmtId="0" fontId="21" fillId="0" borderId="12" xfId="0" applyFont="1" applyBorder="1" applyAlignment="1">
      <alignment horizontal="center" vertical="center"/>
    </xf>
    <xf numFmtId="0" fontId="21" fillId="0" borderId="13" xfId="0" applyFont="1" applyBorder="1" applyAlignment="1">
      <alignment horizontal="center" vertical="center"/>
    </xf>
    <xf numFmtId="0" fontId="27" fillId="0" borderId="17" xfId="0" applyFont="1" applyBorder="1" applyAlignment="1">
      <alignment horizontal="center" vertical="center"/>
    </xf>
    <xf numFmtId="0" fontId="27" fillId="0" borderId="0" xfId="0" applyFont="1" applyAlignment="1">
      <alignment horizontal="center" vertical="center"/>
    </xf>
    <xf numFmtId="0" fontId="27" fillId="0" borderId="18" xfId="0" applyFont="1" applyBorder="1" applyAlignment="1">
      <alignment horizontal="center" vertical="center"/>
    </xf>
    <xf numFmtId="0" fontId="27" fillId="0" borderId="11" xfId="0" applyFont="1" applyBorder="1" applyAlignment="1">
      <alignment horizontal="center" vertical="center"/>
    </xf>
    <xf numFmtId="0" fontId="27" fillId="0" borderId="12" xfId="0" applyFont="1" applyBorder="1" applyAlignment="1">
      <alignment horizontal="center" vertical="center"/>
    </xf>
    <xf numFmtId="0" fontId="27" fillId="0" borderId="13" xfId="0" applyFont="1" applyBorder="1" applyAlignment="1">
      <alignment horizontal="center" vertical="center"/>
    </xf>
    <xf numFmtId="0" fontId="26" fillId="0" borderId="14" xfId="1" applyFont="1" applyFill="1" applyBorder="1" applyAlignment="1" applyProtection="1">
      <alignment horizontal="center" vertical="center"/>
      <protection locked="0"/>
    </xf>
    <xf numFmtId="0" fontId="26" fillId="0" borderId="15" xfId="1" applyFont="1" applyFill="1" applyBorder="1" applyAlignment="1" applyProtection="1">
      <alignment horizontal="center" vertical="center"/>
      <protection locked="0"/>
    </xf>
    <xf numFmtId="0" fontId="26" fillId="0" borderId="16" xfId="1" applyFont="1" applyFill="1" applyBorder="1" applyAlignment="1" applyProtection="1">
      <alignment horizontal="center" vertical="center"/>
      <protection locked="0"/>
    </xf>
    <xf numFmtId="0" fontId="26" fillId="0" borderId="11" xfId="1" applyFont="1" applyFill="1" applyBorder="1" applyAlignment="1" applyProtection="1">
      <alignment horizontal="center" vertical="center"/>
      <protection locked="0"/>
    </xf>
    <xf numFmtId="0" fontId="26" fillId="0" borderId="12" xfId="1" applyFont="1" applyFill="1" applyBorder="1" applyAlignment="1" applyProtection="1">
      <alignment horizontal="center" vertical="center"/>
      <protection locked="0"/>
    </xf>
    <xf numFmtId="0" fontId="26" fillId="0" borderId="13" xfId="1" applyFont="1" applyFill="1" applyBorder="1" applyAlignment="1" applyProtection="1">
      <alignment horizontal="center" vertical="center"/>
      <protection locked="0"/>
    </xf>
    <xf numFmtId="0" fontId="35" fillId="0" borderId="14" xfId="1" applyFont="1" applyFill="1" applyBorder="1" applyAlignment="1" applyProtection="1">
      <alignment horizontal="center" wrapText="1"/>
      <protection locked="0"/>
    </xf>
    <xf numFmtId="0" fontId="35" fillId="0" borderId="15" xfId="1" applyFont="1" applyFill="1" applyBorder="1" applyAlignment="1" applyProtection="1">
      <alignment horizontal="center" wrapText="1"/>
      <protection locked="0"/>
    </xf>
    <xf numFmtId="0" fontId="35" fillId="0" borderId="16" xfId="1" applyFont="1" applyFill="1" applyBorder="1" applyAlignment="1" applyProtection="1">
      <alignment horizontal="center" wrapText="1"/>
      <protection locked="0"/>
    </xf>
    <xf numFmtId="0" fontId="35" fillId="0" borderId="11" xfId="1" applyFont="1" applyFill="1" applyBorder="1" applyAlignment="1" applyProtection="1">
      <alignment horizontal="center" wrapText="1"/>
      <protection locked="0"/>
    </xf>
    <xf numFmtId="0" fontId="35" fillId="0" borderId="12" xfId="1" applyFont="1" applyFill="1" applyBorder="1" applyAlignment="1" applyProtection="1">
      <alignment horizontal="center" wrapText="1"/>
      <protection locked="0"/>
    </xf>
    <xf numFmtId="0" fontId="35" fillId="0" borderId="13" xfId="1" applyFont="1" applyFill="1" applyBorder="1" applyAlignment="1" applyProtection="1">
      <alignment horizontal="center" wrapText="1"/>
      <protection locked="0"/>
    </xf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27" fillId="0" borderId="14" xfId="0" applyFont="1" applyBorder="1" applyAlignment="1">
      <alignment horizontal="center" vertical="center"/>
    </xf>
    <xf numFmtId="0" fontId="27" fillId="0" borderId="15" xfId="0" applyFont="1" applyBorder="1" applyAlignment="1">
      <alignment horizontal="center" vertical="center"/>
    </xf>
    <xf numFmtId="0" fontId="27" fillId="0" borderId="16" xfId="0" applyFont="1" applyBorder="1" applyAlignment="1">
      <alignment horizontal="center" vertical="center"/>
    </xf>
    <xf numFmtId="0" fontId="25" fillId="0" borderId="4" xfId="1" applyFont="1" applyFill="1" applyBorder="1" applyAlignment="1" applyProtection="1">
      <alignment horizontal="center" vertical="center"/>
      <protection locked="0"/>
    </xf>
    <xf numFmtId="0" fontId="25" fillId="0" borderId="5" xfId="1" applyFont="1" applyFill="1" applyBorder="1" applyAlignment="1" applyProtection="1">
      <alignment horizontal="center" vertical="center"/>
      <protection locked="0"/>
    </xf>
    <xf numFmtId="0" fontId="25" fillId="0" borderId="6" xfId="1" applyFont="1" applyFill="1" applyBorder="1" applyAlignment="1" applyProtection="1">
      <alignment horizontal="center" vertical="center"/>
      <protection locked="0"/>
    </xf>
    <xf numFmtId="0" fontId="25" fillId="0" borderId="7" xfId="1" applyFont="1" applyFill="1" applyBorder="1" applyAlignment="1" applyProtection="1">
      <alignment horizontal="center" vertical="center"/>
      <protection locked="0"/>
    </xf>
    <xf numFmtId="0" fontId="25" fillId="0" borderId="8" xfId="1" applyFont="1" applyFill="1" applyBorder="1" applyAlignment="1" applyProtection="1">
      <alignment horizontal="center" vertical="center"/>
      <protection locked="0"/>
    </xf>
    <xf numFmtId="0" fontId="25" fillId="0" borderId="9" xfId="1" applyFont="1" applyFill="1" applyBorder="1" applyAlignment="1" applyProtection="1">
      <alignment horizontal="center" vertical="center"/>
      <protection locked="0"/>
    </xf>
    <xf numFmtId="0" fontId="35" fillId="0" borderId="14" xfId="1" applyFont="1" applyFill="1" applyBorder="1" applyAlignment="1" applyProtection="1">
      <alignment horizontal="center" vertical="center" wrapText="1"/>
      <protection locked="0"/>
    </xf>
    <xf numFmtId="0" fontId="35" fillId="0" borderId="15" xfId="1" applyFont="1" applyFill="1" applyBorder="1" applyAlignment="1" applyProtection="1">
      <alignment horizontal="center" vertical="center" wrapText="1"/>
      <protection locked="0"/>
    </xf>
    <xf numFmtId="0" fontId="35" fillId="0" borderId="16" xfId="1" applyFont="1" applyFill="1" applyBorder="1" applyAlignment="1" applyProtection="1">
      <alignment horizontal="center" vertical="center" wrapText="1"/>
      <protection locked="0"/>
    </xf>
    <xf numFmtId="0" fontId="35" fillId="0" borderId="11" xfId="1" applyFont="1" applyFill="1" applyBorder="1" applyAlignment="1" applyProtection="1">
      <alignment horizontal="center" vertical="center" wrapText="1"/>
      <protection locked="0"/>
    </xf>
    <xf numFmtId="0" fontId="35" fillId="0" borderId="12" xfId="1" applyFont="1" applyFill="1" applyBorder="1" applyAlignment="1" applyProtection="1">
      <alignment horizontal="center" vertical="center" wrapText="1"/>
      <protection locked="0"/>
    </xf>
    <xf numFmtId="0" fontId="35" fillId="0" borderId="13" xfId="1" applyFont="1" applyFill="1" applyBorder="1" applyAlignment="1" applyProtection="1">
      <alignment horizontal="center" vertical="center" wrapText="1"/>
      <protection locked="0"/>
    </xf>
    <xf numFmtId="0" fontId="11" fillId="0" borderId="10" xfId="0" applyFont="1" applyBorder="1" applyAlignment="1">
      <alignment horizontal="center"/>
    </xf>
    <xf numFmtId="0" fontId="11" fillId="0" borderId="10" xfId="0" applyFont="1" applyBorder="1" applyAlignment="1">
      <alignment horizontal="center" vertical="center"/>
    </xf>
    <xf numFmtId="0" fontId="16" fillId="2" borderId="10" xfId="0" applyFont="1" applyFill="1" applyBorder="1" applyAlignment="1">
      <alignment horizontal="center" vertical="center"/>
    </xf>
    <xf numFmtId="0" fontId="16" fillId="2" borderId="10" xfId="0" applyFont="1" applyFill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textRotation="90" wrapText="1"/>
    </xf>
    <xf numFmtId="166" fontId="30" fillId="0" borderId="10" xfId="0" applyNumberFormat="1" applyFont="1" applyBorder="1" applyAlignment="1">
      <alignment horizontal="center" vertical="center"/>
    </xf>
    <xf numFmtId="6" fontId="31" fillId="0" borderId="10" xfId="0" applyNumberFormat="1" applyFont="1" applyBorder="1" applyAlignment="1">
      <alignment horizontal="center" vertical="center"/>
    </xf>
    <xf numFmtId="0" fontId="15" fillId="0" borderId="10" xfId="0" applyFont="1" applyBorder="1" applyAlignment="1">
      <alignment horizontal="center" vertical="center"/>
    </xf>
    <xf numFmtId="0" fontId="12" fillId="0" borderId="10" xfId="0" applyFont="1" applyBorder="1" applyAlignment="1">
      <alignment horizontal="center" vertical="center"/>
    </xf>
    <xf numFmtId="0" fontId="16" fillId="2" borderId="14" xfId="0" applyFont="1" applyFill="1" applyBorder="1" applyAlignment="1">
      <alignment horizontal="center" vertical="center"/>
    </xf>
    <xf numFmtId="0" fontId="16" fillId="2" borderId="15" xfId="0" applyFont="1" applyFill="1" applyBorder="1" applyAlignment="1">
      <alignment horizontal="center" vertical="center"/>
    </xf>
    <xf numFmtId="0" fontId="16" fillId="2" borderId="16" xfId="0" applyFont="1" applyFill="1" applyBorder="1" applyAlignment="1">
      <alignment horizontal="center" vertical="center"/>
    </xf>
    <xf numFmtId="0" fontId="16" fillId="2" borderId="17" xfId="0" applyFont="1" applyFill="1" applyBorder="1" applyAlignment="1">
      <alignment horizontal="center" vertical="center"/>
    </xf>
    <xf numFmtId="0" fontId="16" fillId="2" borderId="0" xfId="0" applyFont="1" applyFill="1" applyAlignment="1">
      <alignment horizontal="center" vertical="center"/>
    </xf>
    <xf numFmtId="0" fontId="16" fillId="2" borderId="18" xfId="0" applyFont="1" applyFill="1" applyBorder="1" applyAlignment="1">
      <alignment horizontal="center" vertical="center"/>
    </xf>
    <xf numFmtId="0" fontId="16" fillId="2" borderId="11" xfId="0" applyFont="1" applyFill="1" applyBorder="1" applyAlignment="1">
      <alignment horizontal="center" vertical="center"/>
    </xf>
    <xf numFmtId="0" fontId="16" fillId="2" borderId="12" xfId="0" applyFont="1" applyFill="1" applyBorder="1" applyAlignment="1">
      <alignment horizontal="center" vertical="center"/>
    </xf>
    <xf numFmtId="0" fontId="16" fillId="2" borderId="13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/>
    </xf>
    <xf numFmtId="0" fontId="7" fillId="2" borderId="14" xfId="0" applyFont="1" applyFill="1" applyBorder="1" applyAlignment="1">
      <alignment horizontal="center"/>
    </xf>
    <xf numFmtId="0" fontId="7" fillId="2" borderId="15" xfId="0" applyFont="1" applyFill="1" applyBorder="1" applyAlignment="1">
      <alignment horizontal="center"/>
    </xf>
    <xf numFmtId="0" fontId="7" fillId="2" borderId="16" xfId="0" applyFont="1" applyFill="1" applyBorder="1" applyAlignment="1">
      <alignment horizontal="center"/>
    </xf>
    <xf numFmtId="0" fontId="15" fillId="0" borderId="10" xfId="0" applyFont="1" applyBorder="1" applyAlignment="1">
      <alignment horizontal="center"/>
    </xf>
    <xf numFmtId="0" fontId="7" fillId="3" borderId="10" xfId="0" applyFont="1" applyFill="1" applyBorder="1" applyAlignment="1">
      <alignment horizontal="center" vertical="center"/>
    </xf>
    <xf numFmtId="0" fontId="15" fillId="0" borderId="14" xfId="0" applyFont="1" applyBorder="1" applyAlignment="1">
      <alignment horizontal="center" vertical="center"/>
    </xf>
    <xf numFmtId="0" fontId="15" fillId="0" borderId="15" xfId="0" applyFont="1" applyBorder="1" applyAlignment="1">
      <alignment horizontal="center" vertical="center"/>
    </xf>
    <xf numFmtId="0" fontId="15" fillId="0" borderId="16" xfId="0" applyFont="1" applyBorder="1" applyAlignment="1">
      <alignment horizontal="center" vertical="center"/>
    </xf>
    <xf numFmtId="0" fontId="15" fillId="0" borderId="11" xfId="0" applyFont="1" applyBorder="1" applyAlignment="1">
      <alignment horizontal="center" vertical="center"/>
    </xf>
    <xf numFmtId="0" fontId="15" fillId="0" borderId="12" xfId="0" applyFont="1" applyBorder="1" applyAlignment="1">
      <alignment horizontal="center" vertical="center"/>
    </xf>
    <xf numFmtId="0" fontId="15" fillId="0" borderId="13" xfId="0" applyFont="1" applyBorder="1" applyAlignment="1">
      <alignment horizontal="center" vertical="center"/>
    </xf>
    <xf numFmtId="0" fontId="7" fillId="3" borderId="14" xfId="0" applyFont="1" applyFill="1" applyBorder="1" applyAlignment="1">
      <alignment horizontal="center" vertical="center" wrapText="1"/>
    </xf>
    <xf numFmtId="0" fontId="7" fillId="3" borderId="15" xfId="0" applyFont="1" applyFill="1" applyBorder="1" applyAlignment="1">
      <alignment horizontal="center" vertical="center" wrapText="1"/>
    </xf>
    <xf numFmtId="0" fontId="7" fillId="3" borderId="16" xfId="0" applyFont="1" applyFill="1" applyBorder="1" applyAlignment="1">
      <alignment horizontal="center" vertical="center" wrapText="1"/>
    </xf>
    <xf numFmtId="0" fontId="7" fillId="3" borderId="17" xfId="0" applyFont="1" applyFill="1" applyBorder="1" applyAlignment="1">
      <alignment horizontal="center" vertical="center" wrapText="1"/>
    </xf>
    <xf numFmtId="0" fontId="7" fillId="3" borderId="0" xfId="0" applyFont="1" applyFill="1" applyAlignment="1">
      <alignment horizontal="center" vertical="center" wrapText="1"/>
    </xf>
    <xf numFmtId="0" fontId="7" fillId="3" borderId="18" xfId="0" applyFont="1" applyFill="1" applyBorder="1" applyAlignment="1">
      <alignment horizontal="center" vertical="center" wrapText="1"/>
    </xf>
    <xf numFmtId="0" fontId="7" fillId="3" borderId="11" xfId="0" applyFont="1" applyFill="1" applyBorder="1" applyAlignment="1">
      <alignment horizontal="center" vertical="center" wrapText="1"/>
    </xf>
    <xf numFmtId="0" fontId="7" fillId="3" borderId="12" xfId="0" applyFont="1" applyFill="1" applyBorder="1" applyAlignment="1">
      <alignment horizontal="center" vertical="center" wrapText="1"/>
    </xf>
    <xf numFmtId="0" fontId="7" fillId="3" borderId="13" xfId="0" applyFont="1" applyFill="1" applyBorder="1" applyAlignment="1">
      <alignment horizontal="center" vertical="center" wrapText="1"/>
    </xf>
    <xf numFmtId="0" fontId="15" fillId="0" borderId="14" xfId="0" applyFont="1" applyBorder="1" applyAlignment="1">
      <alignment horizontal="center" vertical="center" wrapText="1"/>
    </xf>
    <xf numFmtId="0" fontId="15" fillId="0" borderId="15" xfId="0" applyFont="1" applyBorder="1" applyAlignment="1">
      <alignment horizontal="center" vertical="center" wrapText="1"/>
    </xf>
    <xf numFmtId="0" fontId="15" fillId="0" borderId="16" xfId="0" applyFont="1" applyBorder="1" applyAlignment="1">
      <alignment horizontal="center" vertical="center" wrapText="1"/>
    </xf>
    <xf numFmtId="0" fontId="15" fillId="0" borderId="17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5" fillId="0" borderId="18" xfId="0" applyFont="1" applyBorder="1" applyAlignment="1">
      <alignment horizontal="center" vertical="center" wrapText="1"/>
    </xf>
    <xf numFmtId="0" fontId="15" fillId="0" borderId="11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15" fillId="0" borderId="13" xfId="0" applyFont="1" applyBorder="1" applyAlignment="1">
      <alignment horizontal="center" vertical="center" wrapText="1"/>
    </xf>
    <xf numFmtId="0" fontId="18" fillId="3" borderId="14" xfId="0" applyFont="1" applyFill="1" applyBorder="1" applyAlignment="1">
      <alignment horizontal="center" wrapText="1"/>
    </xf>
    <xf numFmtId="0" fontId="18" fillId="3" borderId="15" xfId="0" applyFont="1" applyFill="1" applyBorder="1" applyAlignment="1">
      <alignment horizontal="center" wrapText="1"/>
    </xf>
    <xf numFmtId="0" fontId="18" fillId="3" borderId="16" xfId="0" applyFont="1" applyFill="1" applyBorder="1" applyAlignment="1">
      <alignment horizontal="center" wrapText="1"/>
    </xf>
    <xf numFmtId="0" fontId="18" fillId="3" borderId="17" xfId="0" applyFont="1" applyFill="1" applyBorder="1" applyAlignment="1">
      <alignment horizontal="center" wrapText="1"/>
    </xf>
    <xf numFmtId="0" fontId="18" fillId="3" borderId="0" xfId="0" applyFont="1" applyFill="1" applyAlignment="1">
      <alignment horizontal="center" wrapText="1"/>
    </xf>
    <xf numFmtId="0" fontId="18" fillId="3" borderId="18" xfId="0" applyFont="1" applyFill="1" applyBorder="1" applyAlignment="1">
      <alignment horizontal="center" wrapText="1"/>
    </xf>
    <xf numFmtId="0" fontId="18" fillId="3" borderId="11" xfId="0" applyFont="1" applyFill="1" applyBorder="1" applyAlignment="1">
      <alignment horizontal="center" wrapText="1"/>
    </xf>
    <xf numFmtId="0" fontId="18" fillId="3" borderId="12" xfId="0" applyFont="1" applyFill="1" applyBorder="1" applyAlignment="1">
      <alignment horizontal="center" wrapText="1"/>
    </xf>
    <xf numFmtId="0" fontId="18" fillId="3" borderId="13" xfId="0" applyFont="1" applyFill="1" applyBorder="1" applyAlignment="1">
      <alignment horizontal="center" wrapText="1"/>
    </xf>
    <xf numFmtId="0" fontId="7" fillId="0" borderId="14" xfId="0" applyFont="1" applyBorder="1" applyAlignment="1">
      <alignment horizontal="center" wrapText="1"/>
    </xf>
    <xf numFmtId="0" fontId="7" fillId="0" borderId="15" xfId="0" applyFont="1" applyBorder="1" applyAlignment="1">
      <alignment horizontal="center" wrapText="1"/>
    </xf>
    <xf numFmtId="0" fontId="7" fillId="0" borderId="16" xfId="0" applyFont="1" applyBorder="1" applyAlignment="1">
      <alignment horizontal="center" wrapText="1"/>
    </xf>
    <xf numFmtId="0" fontId="7" fillId="0" borderId="11" xfId="0" applyFont="1" applyBorder="1" applyAlignment="1">
      <alignment horizontal="center" wrapText="1"/>
    </xf>
    <xf numFmtId="0" fontId="7" fillId="0" borderId="12" xfId="0" applyFont="1" applyBorder="1" applyAlignment="1">
      <alignment horizontal="center" wrapText="1"/>
    </xf>
    <xf numFmtId="0" fontId="7" fillId="0" borderId="13" xfId="0" applyFont="1" applyBorder="1" applyAlignment="1">
      <alignment horizontal="center" wrapText="1"/>
    </xf>
    <xf numFmtId="0" fontId="7" fillId="3" borderId="21" xfId="0" applyFont="1" applyFill="1" applyBorder="1" applyAlignment="1">
      <alignment horizontal="center"/>
    </xf>
    <xf numFmtId="0" fontId="7" fillId="3" borderId="23" xfId="0" applyFont="1" applyFill="1" applyBorder="1" applyAlignment="1">
      <alignment horizontal="center"/>
    </xf>
    <xf numFmtId="0" fontId="7" fillId="3" borderId="19" xfId="0" applyFont="1" applyFill="1" applyBorder="1" applyAlignment="1">
      <alignment horizontal="center"/>
    </xf>
    <xf numFmtId="0" fontId="7" fillId="3" borderId="10" xfId="0" applyFont="1" applyFill="1" applyBorder="1" applyAlignment="1">
      <alignment horizontal="center"/>
    </xf>
    <xf numFmtId="0" fontId="22" fillId="0" borderId="14" xfId="0" applyFont="1" applyBorder="1" applyAlignment="1">
      <alignment horizontal="center" wrapText="1"/>
    </xf>
    <xf numFmtId="0" fontId="22" fillId="0" borderId="15" xfId="0" applyFont="1" applyBorder="1" applyAlignment="1">
      <alignment horizontal="center" wrapText="1"/>
    </xf>
    <xf numFmtId="0" fontId="22" fillId="0" borderId="16" xfId="0" applyFont="1" applyBorder="1" applyAlignment="1">
      <alignment horizontal="center" wrapText="1"/>
    </xf>
    <xf numFmtId="0" fontId="22" fillId="0" borderId="11" xfId="0" applyFont="1" applyBorder="1" applyAlignment="1">
      <alignment horizontal="center" wrapText="1"/>
    </xf>
    <xf numFmtId="0" fontId="22" fillId="0" borderId="12" xfId="0" applyFont="1" applyBorder="1" applyAlignment="1">
      <alignment horizontal="center" wrapText="1"/>
    </xf>
    <xf numFmtId="0" fontId="22" fillId="0" borderId="13" xfId="0" applyFont="1" applyBorder="1" applyAlignment="1">
      <alignment horizontal="center" wrapText="1"/>
    </xf>
    <xf numFmtId="0" fontId="6" fillId="0" borderId="14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19" fillId="3" borderId="14" xfId="0" applyFont="1" applyFill="1" applyBorder="1" applyAlignment="1">
      <alignment horizontal="center" wrapText="1"/>
    </xf>
    <xf numFmtId="0" fontId="19" fillId="3" borderId="15" xfId="0" applyFont="1" applyFill="1" applyBorder="1" applyAlignment="1">
      <alignment horizontal="center" wrapText="1"/>
    </xf>
    <xf numFmtId="0" fontId="19" fillId="3" borderId="16" xfId="0" applyFont="1" applyFill="1" applyBorder="1" applyAlignment="1">
      <alignment horizontal="center" wrapText="1"/>
    </xf>
    <xf numFmtId="0" fontId="19" fillId="3" borderId="17" xfId="0" applyFont="1" applyFill="1" applyBorder="1" applyAlignment="1">
      <alignment horizontal="center" wrapText="1"/>
    </xf>
    <xf numFmtId="0" fontId="19" fillId="3" borderId="0" xfId="0" applyFont="1" applyFill="1" applyAlignment="1">
      <alignment horizontal="center" wrapText="1"/>
    </xf>
    <xf numFmtId="0" fontId="19" fillId="3" borderId="18" xfId="0" applyFont="1" applyFill="1" applyBorder="1" applyAlignment="1">
      <alignment horizontal="center" wrapText="1"/>
    </xf>
    <xf numFmtId="0" fontId="19" fillId="3" borderId="11" xfId="0" applyFont="1" applyFill="1" applyBorder="1" applyAlignment="1">
      <alignment horizontal="center" wrapText="1"/>
    </xf>
    <xf numFmtId="0" fontId="19" fillId="3" borderId="12" xfId="0" applyFont="1" applyFill="1" applyBorder="1" applyAlignment="1">
      <alignment horizontal="center" wrapText="1"/>
    </xf>
    <xf numFmtId="0" fontId="19" fillId="3" borderId="13" xfId="0" applyFont="1" applyFill="1" applyBorder="1" applyAlignment="1">
      <alignment horizontal="center" wrapText="1"/>
    </xf>
    <xf numFmtId="0" fontId="28" fillId="3" borderId="14" xfId="0" applyFont="1" applyFill="1" applyBorder="1" applyAlignment="1">
      <alignment horizontal="center" vertical="center" wrapText="1"/>
    </xf>
    <xf numFmtId="0" fontId="28" fillId="3" borderId="15" xfId="0" applyFont="1" applyFill="1" applyBorder="1" applyAlignment="1">
      <alignment horizontal="center" vertical="center" wrapText="1"/>
    </xf>
    <xf numFmtId="0" fontId="28" fillId="3" borderId="16" xfId="0" applyFont="1" applyFill="1" applyBorder="1" applyAlignment="1">
      <alignment horizontal="center" vertical="center" wrapText="1"/>
    </xf>
    <xf numFmtId="0" fontId="28" fillId="3" borderId="17" xfId="0" applyFont="1" applyFill="1" applyBorder="1" applyAlignment="1">
      <alignment horizontal="center" vertical="center" wrapText="1"/>
    </xf>
    <xf numFmtId="0" fontId="28" fillId="3" borderId="0" xfId="0" applyFont="1" applyFill="1" applyAlignment="1">
      <alignment horizontal="center" vertical="center" wrapText="1"/>
    </xf>
    <xf numFmtId="0" fontId="28" fillId="3" borderId="18" xfId="0" applyFont="1" applyFill="1" applyBorder="1" applyAlignment="1">
      <alignment horizontal="center" vertical="center" wrapText="1"/>
    </xf>
    <xf numFmtId="0" fontId="28" fillId="3" borderId="11" xfId="0" applyFont="1" applyFill="1" applyBorder="1" applyAlignment="1">
      <alignment horizontal="center" vertical="center" wrapText="1"/>
    </xf>
    <xf numFmtId="0" fontId="28" fillId="3" borderId="12" xfId="0" applyFont="1" applyFill="1" applyBorder="1" applyAlignment="1">
      <alignment horizontal="center" vertical="center" wrapText="1"/>
    </xf>
    <xf numFmtId="0" fontId="28" fillId="3" borderId="13" xfId="0" applyFont="1" applyFill="1" applyBorder="1" applyAlignment="1">
      <alignment horizontal="center" vertical="center" wrapText="1"/>
    </xf>
    <xf numFmtId="0" fontId="22" fillId="0" borderId="10" xfId="0" applyFont="1" applyBorder="1" applyAlignment="1">
      <alignment horizontal="center" vertical="center" wrapText="1"/>
    </xf>
    <xf numFmtId="0" fontId="16" fillId="3" borderId="14" xfId="0" applyFont="1" applyFill="1" applyBorder="1" applyAlignment="1">
      <alignment horizontal="center" vertical="center" wrapText="1"/>
    </xf>
    <xf numFmtId="0" fontId="16" fillId="3" borderId="15" xfId="0" applyFont="1" applyFill="1" applyBorder="1" applyAlignment="1">
      <alignment horizontal="center" vertical="center" wrapText="1"/>
    </xf>
    <xf numFmtId="0" fontId="16" fillId="3" borderId="16" xfId="0" applyFont="1" applyFill="1" applyBorder="1" applyAlignment="1">
      <alignment horizontal="center" vertical="center" wrapText="1"/>
    </xf>
    <xf numFmtId="0" fontId="16" fillId="3" borderId="17" xfId="0" applyFont="1" applyFill="1" applyBorder="1" applyAlignment="1">
      <alignment horizontal="center" vertical="center" wrapText="1"/>
    </xf>
    <xf numFmtId="0" fontId="16" fillId="3" borderId="0" xfId="0" applyFont="1" applyFill="1" applyAlignment="1">
      <alignment horizontal="center" vertical="center" wrapText="1"/>
    </xf>
    <xf numFmtId="0" fontId="16" fillId="3" borderId="18" xfId="0" applyFont="1" applyFill="1" applyBorder="1" applyAlignment="1">
      <alignment horizontal="center" vertical="center" wrapText="1"/>
    </xf>
    <xf numFmtId="0" fontId="16" fillId="3" borderId="11" xfId="0" applyFont="1" applyFill="1" applyBorder="1" applyAlignment="1">
      <alignment horizontal="center" vertical="center" wrapText="1"/>
    </xf>
    <xf numFmtId="0" fontId="16" fillId="3" borderId="12" xfId="0" applyFont="1" applyFill="1" applyBorder="1" applyAlignment="1">
      <alignment horizontal="center" vertical="center" wrapText="1"/>
    </xf>
    <xf numFmtId="0" fontId="16" fillId="3" borderId="13" xfId="0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wrapText="1"/>
    </xf>
    <xf numFmtId="0" fontId="7" fillId="3" borderId="15" xfId="0" applyFont="1" applyFill="1" applyBorder="1" applyAlignment="1">
      <alignment horizontal="center" wrapText="1"/>
    </xf>
    <xf numFmtId="0" fontId="7" fillId="3" borderId="16" xfId="0" applyFont="1" applyFill="1" applyBorder="1" applyAlignment="1">
      <alignment horizontal="center" wrapText="1"/>
    </xf>
    <xf numFmtId="0" fontId="7" fillId="3" borderId="11" xfId="0" applyFont="1" applyFill="1" applyBorder="1" applyAlignment="1">
      <alignment horizontal="center" wrapText="1"/>
    </xf>
    <xf numFmtId="0" fontId="7" fillId="3" borderId="12" xfId="0" applyFont="1" applyFill="1" applyBorder="1" applyAlignment="1">
      <alignment horizontal="center" wrapText="1"/>
    </xf>
    <xf numFmtId="0" fontId="7" fillId="3" borderId="13" xfId="0" applyFont="1" applyFill="1" applyBorder="1" applyAlignment="1">
      <alignment horizontal="center" wrapText="1"/>
    </xf>
    <xf numFmtId="0" fontId="7" fillId="0" borderId="10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/>
    </xf>
    <xf numFmtId="0" fontId="12" fillId="0" borderId="15" xfId="0" applyFont="1" applyBorder="1" applyAlignment="1">
      <alignment horizontal="center" vertical="center"/>
    </xf>
    <xf numFmtId="0" fontId="12" fillId="0" borderId="16" xfId="0" applyFont="1" applyBorder="1" applyAlignment="1">
      <alignment horizontal="center" vertical="center"/>
    </xf>
    <xf numFmtId="0" fontId="12" fillId="0" borderId="11" xfId="0" applyFont="1" applyBorder="1" applyAlignment="1">
      <alignment horizontal="center" vertical="center"/>
    </xf>
    <xf numFmtId="0" fontId="12" fillId="0" borderId="12" xfId="0" applyFont="1" applyBorder="1" applyAlignment="1">
      <alignment horizontal="center" vertical="center"/>
    </xf>
    <xf numFmtId="0" fontId="12" fillId="0" borderId="13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/>
    </xf>
    <xf numFmtId="0" fontId="7" fillId="0" borderId="23" xfId="0" applyFont="1" applyBorder="1" applyAlignment="1">
      <alignment horizontal="center"/>
    </xf>
    <xf numFmtId="0" fontId="7" fillId="0" borderId="19" xfId="0" applyFont="1" applyBorder="1" applyAlignment="1">
      <alignment horizontal="center"/>
    </xf>
    <xf numFmtId="0" fontId="7" fillId="3" borderId="10" xfId="0" applyFont="1" applyFill="1" applyBorder="1" applyAlignment="1">
      <alignment horizontal="center" vertical="center" wrapText="1"/>
    </xf>
    <xf numFmtId="166" fontId="29" fillId="0" borderId="10" xfId="0" applyNumberFormat="1" applyFont="1" applyBorder="1" applyAlignment="1">
      <alignment horizontal="center" vertical="center"/>
    </xf>
    <xf numFmtId="0" fontId="16" fillId="3" borderId="10" xfId="0" applyFont="1" applyFill="1" applyBorder="1" applyAlignment="1">
      <alignment horizontal="center" vertical="center" wrapText="1"/>
    </xf>
    <xf numFmtId="0" fontId="10" fillId="0" borderId="22" xfId="0" applyFont="1" applyBorder="1" applyAlignment="1">
      <alignment horizontal="center" vertical="center" textRotation="90" wrapText="1"/>
    </xf>
    <xf numFmtId="0" fontId="10" fillId="0" borderId="24" xfId="0" applyFont="1" applyBorder="1" applyAlignment="1">
      <alignment horizontal="center" vertical="center" textRotation="90" wrapText="1"/>
    </xf>
    <xf numFmtId="0" fontId="10" fillId="0" borderId="20" xfId="0" applyFont="1" applyBorder="1" applyAlignment="1">
      <alignment horizontal="center" vertical="center" textRotation="90" wrapText="1"/>
    </xf>
    <xf numFmtId="0" fontId="0" fillId="0" borderId="10" xfId="0" applyBorder="1" applyAlignment="1">
      <alignment horizontal="center" vertical="center" textRotation="90" wrapText="1"/>
    </xf>
    <xf numFmtId="6" fontId="14" fillId="0" borderId="10" xfId="0" applyNumberFormat="1" applyFont="1" applyBorder="1" applyAlignment="1">
      <alignment horizontal="center" vertical="center"/>
    </xf>
    <xf numFmtId="0" fontId="11" fillId="0" borderId="21" xfId="0" applyFont="1" applyBorder="1" applyAlignment="1">
      <alignment horizontal="center"/>
    </xf>
    <xf numFmtId="0" fontId="11" fillId="0" borderId="23" xfId="0" applyFont="1" applyBorder="1" applyAlignment="1">
      <alignment horizontal="center"/>
    </xf>
    <xf numFmtId="0" fontId="11" fillId="0" borderId="1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10" xfId="0" applyFont="1" applyBorder="1" applyAlignment="1">
      <alignment horizontal="center" vertical="center" wrapText="1"/>
    </xf>
    <xf numFmtId="166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7" fillId="3" borderId="10" xfId="0" applyFont="1" applyFill="1" applyBorder="1" applyAlignment="1">
      <alignment horizontal="center" wrapText="1"/>
    </xf>
    <xf numFmtId="0" fontId="0" fillId="0" borderId="10" xfId="0" applyBorder="1" applyAlignment="1">
      <alignment horizontal="center" textRotation="90" wrapText="1"/>
    </xf>
    <xf numFmtId="0" fontId="18" fillId="3" borderId="10" xfId="0" applyFont="1" applyFill="1" applyBorder="1" applyAlignment="1">
      <alignment horizontal="center" vertical="center" wrapText="1"/>
    </xf>
    <xf numFmtId="0" fontId="7" fillId="0" borderId="21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18" fillId="3" borderId="10" xfId="0" applyFont="1" applyFill="1" applyBorder="1" applyAlignment="1">
      <alignment horizontal="center" vertical="center"/>
    </xf>
    <xf numFmtId="0" fontId="7" fillId="0" borderId="10" xfId="0" applyFont="1" applyBorder="1" applyAlignment="1">
      <alignment horizontal="center"/>
    </xf>
    <xf numFmtId="0" fontId="11" fillId="0" borderId="25" xfId="0" applyFont="1" applyBorder="1" applyAlignment="1">
      <alignment horizontal="center"/>
    </xf>
    <xf numFmtId="0" fontId="11" fillId="0" borderId="26" xfId="0" applyFont="1" applyBorder="1" applyAlignment="1">
      <alignment horizontal="center"/>
    </xf>
    <xf numFmtId="0" fontId="11" fillId="0" borderId="27" xfId="0" applyFont="1" applyBorder="1" applyAlignment="1">
      <alignment horizontal="center"/>
    </xf>
    <xf numFmtId="0" fontId="11" fillId="0" borderId="33" xfId="0" applyFont="1" applyBorder="1" applyAlignment="1">
      <alignment horizontal="center"/>
    </xf>
    <xf numFmtId="0" fontId="11" fillId="0" borderId="34" xfId="0" applyFont="1" applyBorder="1" applyAlignment="1">
      <alignment horizontal="center"/>
    </xf>
    <xf numFmtId="0" fontId="11" fillId="0" borderId="35" xfId="0" applyFont="1" applyBorder="1" applyAlignment="1">
      <alignment horizontal="center"/>
    </xf>
    <xf numFmtId="0" fontId="0" fillId="0" borderId="28" xfId="0" applyBorder="1" applyAlignment="1">
      <alignment horizontal="center" textRotation="90" wrapText="1"/>
    </xf>
    <xf numFmtId="0" fontId="0" fillId="0" borderId="29" xfId="0" applyBorder="1" applyAlignment="1">
      <alignment horizontal="center" textRotation="90" wrapText="1"/>
    </xf>
    <xf numFmtId="6" fontId="29" fillId="0" borderId="10" xfId="0" applyNumberFormat="1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0" fontId="11" fillId="0" borderId="15" xfId="0" applyFont="1" applyBorder="1" applyAlignment="1">
      <alignment horizontal="center" vertical="center"/>
    </xf>
    <xf numFmtId="0" fontId="11" fillId="0" borderId="16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/>
    </xf>
    <xf numFmtId="0" fontId="11" fillId="0" borderId="12" xfId="0" applyFont="1" applyBorder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0" fillId="3" borderId="14" xfId="0" applyFill="1" applyBorder="1" applyAlignment="1">
      <alignment horizontal="center" wrapText="1"/>
    </xf>
    <xf numFmtId="0" fontId="0" fillId="3" borderId="15" xfId="0" applyFill="1" applyBorder="1" applyAlignment="1">
      <alignment horizontal="center" wrapText="1"/>
    </xf>
    <xf numFmtId="0" fontId="0" fillId="3" borderId="16" xfId="0" applyFill="1" applyBorder="1" applyAlignment="1">
      <alignment horizontal="center" wrapText="1"/>
    </xf>
    <xf numFmtId="0" fontId="0" fillId="3" borderId="17" xfId="0" applyFill="1" applyBorder="1" applyAlignment="1">
      <alignment horizontal="center" wrapText="1"/>
    </xf>
    <xf numFmtId="0" fontId="0" fillId="3" borderId="0" xfId="0" applyFill="1" applyBorder="1" applyAlignment="1">
      <alignment horizontal="center" wrapText="1"/>
    </xf>
    <xf numFmtId="0" fontId="0" fillId="3" borderId="18" xfId="0" applyFill="1" applyBorder="1" applyAlignment="1">
      <alignment horizontal="center" wrapText="1"/>
    </xf>
    <xf numFmtId="0" fontId="0" fillId="3" borderId="11" xfId="0" applyFill="1" applyBorder="1" applyAlignment="1">
      <alignment horizontal="center" wrapText="1"/>
    </xf>
    <xf numFmtId="0" fontId="0" fillId="3" borderId="12" xfId="0" applyFill="1" applyBorder="1" applyAlignment="1">
      <alignment horizontal="center" wrapText="1"/>
    </xf>
    <xf numFmtId="0" fontId="0" fillId="3" borderId="13" xfId="0" applyFill="1" applyBorder="1" applyAlignment="1">
      <alignment horizontal="center" wrapText="1"/>
    </xf>
    <xf numFmtId="0" fontId="11" fillId="0" borderId="21" xfId="0" applyFont="1" applyBorder="1" applyAlignment="1">
      <alignment horizontal="center" vertical="center"/>
    </xf>
    <xf numFmtId="0" fontId="11" fillId="0" borderId="23" xfId="0" applyFont="1" applyBorder="1" applyAlignment="1">
      <alignment horizontal="center" vertical="center"/>
    </xf>
    <xf numFmtId="0" fontId="11" fillId="0" borderId="19" xfId="0" applyFont="1" applyBorder="1" applyAlignment="1">
      <alignment horizontal="center" vertical="center"/>
    </xf>
    <xf numFmtId="0" fontId="16" fillId="0" borderId="23" xfId="0" applyFont="1" applyBorder="1" applyAlignment="1">
      <alignment horizontal="center" vertical="center"/>
    </xf>
    <xf numFmtId="0" fontId="7" fillId="3" borderId="21" xfId="0" applyFont="1" applyFill="1" applyBorder="1" applyAlignment="1">
      <alignment horizontal="center" vertical="center"/>
    </xf>
    <xf numFmtId="0" fontId="7" fillId="3" borderId="23" xfId="0" applyFont="1" applyFill="1" applyBorder="1" applyAlignment="1">
      <alignment horizontal="center" vertical="center"/>
    </xf>
    <xf numFmtId="0" fontId="7" fillId="3" borderId="19" xfId="0" applyFont="1" applyFill="1" applyBorder="1" applyAlignment="1">
      <alignment horizontal="center" vertical="center"/>
    </xf>
    <xf numFmtId="0" fontId="29" fillId="0" borderId="10" xfId="0" applyFont="1" applyBorder="1" applyAlignment="1">
      <alignment horizontal="center" vertical="center"/>
    </xf>
    <xf numFmtId="0" fontId="31" fillId="0" borderId="10" xfId="0" applyFont="1" applyBorder="1" applyAlignment="1">
      <alignment horizontal="center" vertical="center"/>
    </xf>
    <xf numFmtId="0" fontId="7" fillId="3" borderId="0" xfId="0" applyFont="1" applyFill="1" applyAlignment="1">
      <alignment horizontal="center" vertical="center"/>
    </xf>
    <xf numFmtId="0" fontId="7" fillId="3" borderId="14" xfId="0" applyFont="1" applyFill="1" applyBorder="1" applyAlignment="1">
      <alignment horizontal="center" vertical="center"/>
    </xf>
    <xf numFmtId="0" fontId="7" fillId="3" borderId="15" xfId="0" applyFont="1" applyFill="1" applyBorder="1" applyAlignment="1">
      <alignment horizontal="center" vertical="center"/>
    </xf>
    <xf numFmtId="0" fontId="7" fillId="3" borderId="16" xfId="0" applyFont="1" applyFill="1" applyBorder="1" applyAlignment="1">
      <alignment horizontal="center" vertical="center"/>
    </xf>
    <xf numFmtId="0" fontId="7" fillId="3" borderId="11" xfId="0" applyFont="1" applyFill="1" applyBorder="1" applyAlignment="1">
      <alignment horizontal="center" vertical="center"/>
    </xf>
    <xf numFmtId="0" fontId="7" fillId="3" borderId="12" xfId="0" applyFont="1" applyFill="1" applyBorder="1" applyAlignment="1">
      <alignment horizontal="center" vertical="center"/>
    </xf>
    <xf numFmtId="0" fontId="7" fillId="3" borderId="13" xfId="0" applyFont="1" applyFill="1" applyBorder="1" applyAlignment="1">
      <alignment horizontal="center" vertical="center"/>
    </xf>
    <xf numFmtId="0" fontId="0" fillId="3" borderId="0" xfId="0" applyFill="1" applyAlignment="1">
      <alignment horizontal="center" wrapText="1"/>
    </xf>
    <xf numFmtId="0" fontId="3" fillId="0" borderId="14" xfId="0" applyFont="1" applyBorder="1" applyAlignment="1">
      <alignment horizontal="center" wrapText="1"/>
    </xf>
    <xf numFmtId="0" fontId="3" fillId="0" borderId="15" xfId="0" applyFont="1" applyBorder="1" applyAlignment="1">
      <alignment horizontal="center" wrapText="1"/>
    </xf>
    <xf numFmtId="0" fontId="3" fillId="0" borderId="16" xfId="0" applyFont="1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0" fontId="3" fillId="0" borderId="12" xfId="0" applyFont="1" applyBorder="1" applyAlignment="1">
      <alignment horizontal="center" wrapText="1"/>
    </xf>
    <xf numFmtId="0" fontId="3" fillId="0" borderId="13" xfId="0" applyFont="1" applyBorder="1" applyAlignment="1">
      <alignment horizontal="center" wrapText="1"/>
    </xf>
    <xf numFmtId="0" fontId="19" fillId="3" borderId="10" xfId="0" applyFont="1" applyFill="1" applyBorder="1" applyAlignment="1">
      <alignment horizontal="center" vertical="center" wrapText="1"/>
    </xf>
    <xf numFmtId="0" fontId="8" fillId="3" borderId="10" xfId="0" applyFont="1" applyFill="1" applyBorder="1" applyAlignment="1">
      <alignment horizontal="center" vertical="center" wrapText="1"/>
    </xf>
    <xf numFmtId="0" fontId="11" fillId="0" borderId="15" xfId="0" applyFont="1" applyBorder="1" applyAlignment="1">
      <alignment horizont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7" fillId="3" borderId="17" xfId="0" applyFont="1" applyFill="1" applyBorder="1" applyAlignment="1">
      <alignment horizontal="center" vertical="center"/>
    </xf>
    <xf numFmtId="0" fontId="7" fillId="3" borderId="18" xfId="0" applyFont="1" applyFill="1" applyBorder="1" applyAlignment="1">
      <alignment horizontal="center" vertical="center"/>
    </xf>
    <xf numFmtId="0" fontId="11" fillId="0" borderId="0" xfId="0" applyFont="1" applyAlignment="1">
      <alignment horizontal="center"/>
    </xf>
    <xf numFmtId="0" fontId="16" fillId="0" borderId="15" xfId="0" applyFont="1" applyBorder="1" applyAlignment="1">
      <alignment horizontal="center"/>
    </xf>
    <xf numFmtId="0" fontId="22" fillId="0" borderId="10" xfId="0" applyFont="1" applyBorder="1" applyAlignment="1">
      <alignment horizontal="center" vertical="center"/>
    </xf>
    <xf numFmtId="0" fontId="0" fillId="0" borderId="22" xfId="0" applyBorder="1" applyAlignment="1">
      <alignment horizontal="center" vertical="center" textRotation="90" wrapText="1"/>
    </xf>
    <xf numFmtId="0" fontId="0" fillId="0" borderId="24" xfId="0" applyBorder="1" applyAlignment="1">
      <alignment horizontal="center" vertical="center" textRotation="90" wrapText="1"/>
    </xf>
    <xf numFmtId="0" fontId="0" fillId="0" borderId="20" xfId="0" applyBorder="1" applyAlignment="1">
      <alignment horizontal="center" vertical="center" textRotation="90" wrapText="1"/>
    </xf>
    <xf numFmtId="0" fontId="32" fillId="0" borderId="10" xfId="0" applyFont="1" applyBorder="1" applyAlignment="1">
      <alignment horizontal="center"/>
    </xf>
    <xf numFmtId="0" fontId="1" fillId="0" borderId="10" xfId="0" applyFont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/>
    </xf>
    <xf numFmtId="0" fontId="33" fillId="0" borderId="10" xfId="0" applyFont="1" applyBorder="1" applyAlignment="1">
      <alignment horizontal="center"/>
    </xf>
    <xf numFmtId="0" fontId="6" fillId="0" borderId="10" xfId="0" applyFont="1" applyBorder="1" applyAlignment="1">
      <alignment horizontal="center" wrapText="1"/>
    </xf>
    <xf numFmtId="0" fontId="19" fillId="3" borderId="14" xfId="0" applyFont="1" applyFill="1" applyBorder="1" applyAlignment="1">
      <alignment horizontal="center" vertical="center" wrapText="1"/>
    </xf>
    <xf numFmtId="0" fontId="19" fillId="3" borderId="15" xfId="0" applyFont="1" applyFill="1" applyBorder="1" applyAlignment="1">
      <alignment horizontal="center" vertical="center" wrapText="1"/>
    </xf>
    <xf numFmtId="0" fontId="19" fillId="3" borderId="16" xfId="0" applyFont="1" applyFill="1" applyBorder="1" applyAlignment="1">
      <alignment horizontal="center" vertical="center" wrapText="1"/>
    </xf>
    <xf numFmtId="0" fontId="19" fillId="3" borderId="17" xfId="0" applyFont="1" applyFill="1" applyBorder="1" applyAlignment="1">
      <alignment horizontal="center" vertical="center" wrapText="1"/>
    </xf>
    <xf numFmtId="0" fontId="19" fillId="3" borderId="0" xfId="0" applyFont="1" applyFill="1" applyAlignment="1">
      <alignment horizontal="center" vertical="center" wrapText="1"/>
    </xf>
    <xf numFmtId="0" fontId="19" fillId="3" borderId="18" xfId="0" applyFont="1" applyFill="1" applyBorder="1" applyAlignment="1">
      <alignment horizontal="center" vertical="center" wrapText="1"/>
    </xf>
    <xf numFmtId="0" fontId="19" fillId="3" borderId="11" xfId="0" applyFont="1" applyFill="1" applyBorder="1" applyAlignment="1">
      <alignment horizontal="center" vertical="center" wrapText="1"/>
    </xf>
    <xf numFmtId="0" fontId="19" fillId="3" borderId="12" xfId="0" applyFont="1" applyFill="1" applyBorder="1" applyAlignment="1">
      <alignment horizontal="center" vertical="center" wrapText="1"/>
    </xf>
    <xf numFmtId="0" fontId="19" fillId="3" borderId="13" xfId="0" applyFont="1" applyFill="1" applyBorder="1" applyAlignment="1">
      <alignment horizontal="center" vertical="center" wrapText="1"/>
    </xf>
    <xf numFmtId="0" fontId="33" fillId="0" borderId="21" xfId="0" applyFont="1" applyBorder="1" applyAlignment="1">
      <alignment horizontal="center"/>
    </xf>
    <xf numFmtId="0" fontId="33" fillId="0" borderId="23" xfId="0" applyFont="1" applyBorder="1" applyAlignment="1">
      <alignment horizontal="center"/>
    </xf>
    <xf numFmtId="0" fontId="33" fillId="0" borderId="19" xfId="0" applyFont="1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19" xfId="0" applyBorder="1" applyAlignment="1">
      <alignment horizontal="center"/>
    </xf>
    <xf numFmtId="0" fontId="3" fillId="3" borderId="21" xfId="0" applyFont="1" applyFill="1" applyBorder="1" applyAlignment="1">
      <alignment horizontal="center" vertical="center"/>
    </xf>
    <xf numFmtId="0" fontId="3" fillId="3" borderId="23" xfId="0" applyFont="1" applyFill="1" applyBorder="1" applyAlignment="1">
      <alignment horizontal="center" vertical="center"/>
    </xf>
    <xf numFmtId="0" fontId="3" fillId="3" borderId="19" xfId="0" applyFont="1" applyFill="1" applyBorder="1" applyAlignment="1">
      <alignment horizontal="center" vertical="center"/>
    </xf>
    <xf numFmtId="0" fontId="23" fillId="0" borderId="0" xfId="0" applyFont="1" applyAlignment="1">
      <alignment horizontal="right"/>
    </xf>
    <xf numFmtId="0" fontId="22" fillId="0" borderId="10" xfId="0" applyFont="1" applyBorder="1" applyAlignment="1">
      <alignment horizontal="center" wrapText="1"/>
    </xf>
  </cellXfs>
  <cellStyles count="3">
    <cellStyle name="Ezres" xfId="2" builtinId="3"/>
    <cellStyle name="Hivatkozás" xfId="1" builtinId="8"/>
    <cellStyle name="Normál" xfId="0" builtinId="0"/>
  </cellStyles>
  <dxfs count="60"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ont>
        <color rgb="FFC30D1A"/>
      </font>
      <fill>
        <patternFill>
          <bgColor rgb="FFF78595"/>
        </patternFill>
      </fill>
    </dxf>
    <dxf>
      <font>
        <color rgb="FFC30D1A"/>
      </font>
      <fill>
        <patternFill>
          <bgColor rgb="FFF78595"/>
        </patternFill>
      </fill>
    </dxf>
    <dxf>
      <font>
        <color rgb="FFC30D1A"/>
      </font>
      <fill>
        <patternFill>
          <bgColor rgb="FFF78595"/>
        </patternFill>
      </fill>
    </dxf>
    <dxf>
      <font>
        <color rgb="FFC30D1A"/>
      </font>
      <fill>
        <patternFill>
          <bgColor rgb="FFF78595"/>
        </patternFill>
      </fill>
    </dxf>
    <dxf>
      <font>
        <color rgb="FFC30D1A"/>
      </font>
      <fill>
        <patternFill>
          <bgColor rgb="FFF78595"/>
        </patternFill>
      </fill>
    </dxf>
    <dxf>
      <font>
        <color rgb="FFC30D1A"/>
      </font>
      <fill>
        <patternFill>
          <bgColor rgb="FFF78595"/>
        </patternFill>
      </fill>
    </dxf>
    <dxf>
      <font>
        <color rgb="FFC30D1A"/>
      </font>
      <fill>
        <patternFill>
          <bgColor rgb="FFF78595"/>
        </patternFill>
      </fill>
    </dxf>
    <dxf>
      <font>
        <color rgb="FFC30D1A"/>
      </font>
      <fill>
        <patternFill>
          <bgColor rgb="FFF78595"/>
        </patternFill>
      </fill>
    </dxf>
    <dxf>
      <font>
        <color rgb="FFC30D1A"/>
      </font>
      <fill>
        <patternFill>
          <bgColor rgb="FFF78595"/>
        </patternFill>
      </fill>
    </dxf>
    <dxf>
      <font>
        <color rgb="FFC30D1A"/>
      </font>
      <fill>
        <patternFill>
          <bgColor rgb="FFF78595"/>
        </patternFill>
      </fill>
    </dxf>
    <dxf>
      <font>
        <color rgb="FFC30D1A"/>
      </font>
      <fill>
        <patternFill>
          <bgColor rgb="FFF78595"/>
        </patternFill>
      </fill>
    </dxf>
    <dxf>
      <font>
        <color rgb="FFC30D1A"/>
      </font>
      <fill>
        <patternFill>
          <bgColor rgb="FFF78595"/>
        </patternFill>
      </fill>
    </dxf>
    <dxf>
      <font>
        <color rgb="FFC30D1A"/>
      </font>
      <fill>
        <patternFill>
          <bgColor rgb="FFF78595"/>
        </patternFill>
      </fill>
    </dxf>
    <dxf>
      <font>
        <color rgb="FFC30D1A"/>
      </font>
      <fill>
        <patternFill>
          <bgColor rgb="FFF78595"/>
        </patternFill>
      </fill>
    </dxf>
    <dxf>
      <font>
        <color rgb="FFC30D1A"/>
      </font>
      <fill>
        <patternFill>
          <bgColor rgb="FFF78595"/>
        </patternFill>
      </fill>
    </dxf>
    <dxf>
      <font>
        <color rgb="FFC30D1A"/>
      </font>
      <fill>
        <patternFill>
          <bgColor rgb="FFF78595"/>
        </patternFill>
      </fill>
    </dxf>
    <dxf>
      <font>
        <color rgb="FFC30D1A"/>
      </font>
      <fill>
        <patternFill>
          <bgColor rgb="FFF78595"/>
        </patternFill>
      </fill>
    </dxf>
    <dxf>
      <font>
        <color rgb="FFC30D1A"/>
      </font>
      <fill>
        <patternFill>
          <bgColor rgb="FFF78595"/>
        </patternFill>
      </fill>
    </dxf>
    <dxf>
      <font>
        <color rgb="FFC30D1A"/>
      </font>
      <fill>
        <patternFill>
          <bgColor rgb="FFF78595"/>
        </patternFill>
      </fill>
    </dxf>
    <dxf>
      <font>
        <color rgb="FFC30D1A"/>
      </font>
      <fill>
        <patternFill>
          <bgColor rgb="FFF78595"/>
        </patternFill>
      </fill>
    </dxf>
    <dxf>
      <font>
        <color rgb="FFC30D1A"/>
      </font>
      <fill>
        <patternFill>
          <bgColor rgb="FFF78595"/>
        </patternFill>
      </fill>
    </dxf>
    <dxf>
      <font>
        <color rgb="FFC30D1A"/>
      </font>
      <fill>
        <patternFill>
          <bgColor rgb="FFF78595"/>
        </patternFill>
      </fill>
    </dxf>
    <dxf>
      <font>
        <color rgb="FFC30D1A"/>
      </font>
      <fill>
        <patternFill>
          <bgColor rgb="FFF78595"/>
        </patternFill>
      </fill>
    </dxf>
    <dxf>
      <font>
        <color rgb="FFC30D1A"/>
      </font>
      <fill>
        <patternFill>
          <bgColor rgb="FFF78595"/>
        </patternFill>
      </fill>
    </dxf>
    <dxf>
      <font>
        <color rgb="FFC30D1A"/>
      </font>
      <fill>
        <patternFill>
          <bgColor rgb="FFF78595"/>
        </patternFill>
      </fill>
    </dxf>
    <dxf>
      <font>
        <color rgb="FFC30D1A"/>
      </font>
      <fill>
        <patternFill>
          <bgColor rgb="FFF78595"/>
        </patternFill>
      </fill>
    </dxf>
  </dxfs>
  <tableStyles count="0" defaultTableStyle="TableStyleMedium2" defaultPivotStyle="PivotStyleLight16"/>
  <colors>
    <mruColors>
      <color rgb="FFB4B4B4"/>
      <color rgb="FFF27208"/>
      <color rgb="FFD7DD89"/>
      <color rgb="FFF9FFF3"/>
      <color rgb="FFCCFF99"/>
      <color rgb="FFF78595"/>
      <color rgb="FFC30D1A"/>
      <color rgb="FFF67E8F"/>
      <color rgb="FFFF6600"/>
      <color rgb="FFC6F3C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theme" Target="theme/theme1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ctrlProps/ctrlProp1.xml><?xml version="1.0" encoding="utf-8"?>
<formControlPr xmlns="http://schemas.microsoft.com/office/spreadsheetml/2009/9/main" objectType="CheckBox" fmlaLink="$AB$8" lockText="1" noThreeD="1"/>
</file>

<file path=xl/ctrlProps/ctrlProp10.xml><?xml version="1.0" encoding="utf-8"?>
<formControlPr xmlns="http://schemas.microsoft.com/office/spreadsheetml/2009/9/main" objectType="CheckBox" fmlaLink="$AB$19" lockText="1" noThreeD="1"/>
</file>

<file path=xl/ctrlProps/ctrlProp100.xml><?xml version="1.0" encoding="utf-8"?>
<formControlPr xmlns="http://schemas.microsoft.com/office/spreadsheetml/2009/9/main" objectType="CheckBox" fmlaLink="$X$9" lockText="1" noThreeD="1"/>
</file>

<file path=xl/ctrlProps/ctrlProp101.xml><?xml version="1.0" encoding="utf-8"?>
<formControlPr xmlns="http://schemas.microsoft.com/office/spreadsheetml/2009/9/main" objectType="CheckBox" fmlaLink="$X$10" lockText="1" noThreeD="1"/>
</file>

<file path=xl/ctrlProps/ctrlProp102.xml><?xml version="1.0" encoding="utf-8"?>
<formControlPr xmlns="http://schemas.microsoft.com/office/spreadsheetml/2009/9/main" objectType="CheckBox" fmlaLink="$X$11" lockText="1" noThreeD="1"/>
</file>

<file path=xl/ctrlProps/ctrlProp103.xml><?xml version="1.0" encoding="utf-8"?>
<formControlPr xmlns="http://schemas.microsoft.com/office/spreadsheetml/2009/9/main" objectType="CheckBox" fmlaLink="$X$13" lockText="1" noThreeD="1"/>
</file>

<file path=xl/ctrlProps/ctrlProp104.xml><?xml version="1.0" encoding="utf-8"?>
<formControlPr xmlns="http://schemas.microsoft.com/office/spreadsheetml/2009/9/main" objectType="CheckBox" fmlaLink="$X$14" lockText="1" noThreeD="1"/>
</file>

<file path=xl/ctrlProps/ctrlProp105.xml><?xml version="1.0" encoding="utf-8"?>
<formControlPr xmlns="http://schemas.microsoft.com/office/spreadsheetml/2009/9/main" objectType="CheckBox" fmlaLink="$Z$4" lockText="1" noThreeD="1"/>
</file>

<file path=xl/ctrlProps/ctrlProp106.xml><?xml version="1.0" encoding="utf-8"?>
<formControlPr xmlns="http://schemas.microsoft.com/office/spreadsheetml/2009/9/main" objectType="CheckBox" fmlaLink="$Z$5" lockText="1" noThreeD="1"/>
</file>

<file path=xl/ctrlProps/ctrlProp107.xml><?xml version="1.0" encoding="utf-8"?>
<formControlPr xmlns="http://schemas.microsoft.com/office/spreadsheetml/2009/9/main" objectType="CheckBox" fmlaLink="$Z$6" lockText="1" noThreeD="1"/>
</file>

<file path=xl/ctrlProps/ctrlProp108.xml><?xml version="1.0" encoding="utf-8"?>
<formControlPr xmlns="http://schemas.microsoft.com/office/spreadsheetml/2009/9/main" objectType="CheckBox" fmlaLink="$AA$6" lockText="1" noThreeD="1"/>
</file>

<file path=xl/ctrlProps/ctrlProp109.xml><?xml version="1.0" encoding="utf-8"?>
<formControlPr xmlns="http://schemas.microsoft.com/office/spreadsheetml/2009/9/main" objectType="CheckBox" fmlaLink="$AA$7" lockText="1" noThreeD="1"/>
</file>

<file path=xl/ctrlProps/ctrlProp11.xml><?xml version="1.0" encoding="utf-8"?>
<formControlPr xmlns="http://schemas.microsoft.com/office/spreadsheetml/2009/9/main" objectType="CheckBox" fmlaLink="$AB$20" lockText="1" noThreeD="1"/>
</file>

<file path=xl/ctrlProps/ctrlProp110.xml><?xml version="1.0" encoding="utf-8"?>
<formControlPr xmlns="http://schemas.microsoft.com/office/spreadsheetml/2009/9/main" objectType="CheckBox" fmlaLink="$AA$8" lockText="1" noThreeD="1"/>
</file>

<file path=xl/ctrlProps/ctrlProp111.xml><?xml version="1.0" encoding="utf-8"?>
<formControlPr xmlns="http://schemas.microsoft.com/office/spreadsheetml/2009/9/main" objectType="CheckBox" fmlaLink="$Z$6" lockText="1" noThreeD="1"/>
</file>

<file path=xl/ctrlProps/ctrlProp112.xml><?xml version="1.0" encoding="utf-8"?>
<formControlPr xmlns="http://schemas.microsoft.com/office/spreadsheetml/2009/9/main" objectType="CheckBox" fmlaLink="$Z$8" lockText="1" noThreeD="1"/>
</file>

<file path=xl/ctrlProps/ctrlProp113.xml><?xml version="1.0" encoding="utf-8"?>
<formControlPr xmlns="http://schemas.microsoft.com/office/spreadsheetml/2009/9/main" objectType="CheckBox" fmlaLink="$Z$7" lockText="1" noThreeD="1"/>
</file>

<file path=xl/ctrlProps/ctrlProp114.xml><?xml version="1.0" encoding="utf-8"?>
<formControlPr xmlns="http://schemas.microsoft.com/office/spreadsheetml/2009/9/main" objectType="CheckBox" fmlaLink="$Z$9" lockText="1" noThreeD="1"/>
</file>

<file path=xl/ctrlProps/ctrlProp115.xml><?xml version="1.0" encoding="utf-8"?>
<formControlPr xmlns="http://schemas.microsoft.com/office/spreadsheetml/2009/9/main" objectType="CheckBox" fmlaLink="$AB$6" lockText="1" noThreeD="1"/>
</file>

<file path=xl/ctrlProps/ctrlProp116.xml><?xml version="1.0" encoding="utf-8"?>
<formControlPr xmlns="http://schemas.microsoft.com/office/spreadsheetml/2009/9/main" objectType="CheckBox" fmlaLink="$AB$7" lockText="1" noThreeD="1"/>
</file>

<file path=xl/ctrlProps/ctrlProp117.xml><?xml version="1.0" encoding="utf-8"?>
<formControlPr xmlns="http://schemas.microsoft.com/office/spreadsheetml/2009/9/main" objectType="CheckBox" fmlaLink="$AB$8" lockText="1" noThreeD="1"/>
</file>

<file path=xl/ctrlProps/ctrlProp118.xml><?xml version="1.0" encoding="utf-8"?>
<formControlPr xmlns="http://schemas.microsoft.com/office/spreadsheetml/2009/9/main" objectType="CheckBox" fmlaLink="$AB$9" lockText="1" noThreeD="1"/>
</file>

<file path=xl/ctrlProps/ctrlProp119.xml><?xml version="1.0" encoding="utf-8"?>
<formControlPr xmlns="http://schemas.microsoft.com/office/spreadsheetml/2009/9/main" objectType="CheckBox" fmlaLink="$AG$6" lockText="1" noThreeD="1"/>
</file>

<file path=xl/ctrlProps/ctrlProp12.xml><?xml version="1.0" encoding="utf-8"?>
<formControlPr xmlns="http://schemas.microsoft.com/office/spreadsheetml/2009/9/main" objectType="CheckBox" fmlaLink="$T$8" lockText="1" noThreeD="1"/>
</file>

<file path=xl/ctrlProps/ctrlProp120.xml><?xml version="1.0" encoding="utf-8"?>
<formControlPr xmlns="http://schemas.microsoft.com/office/spreadsheetml/2009/9/main" objectType="CheckBox" fmlaLink="$AG$7" lockText="1" noThreeD="1"/>
</file>

<file path=xl/ctrlProps/ctrlProp121.xml><?xml version="1.0" encoding="utf-8"?>
<formControlPr xmlns="http://schemas.microsoft.com/office/spreadsheetml/2009/9/main" objectType="CheckBox" fmlaLink="$AG$8" lockText="1" noThreeD="1"/>
</file>

<file path=xl/ctrlProps/ctrlProp122.xml><?xml version="1.0" encoding="utf-8"?>
<formControlPr xmlns="http://schemas.microsoft.com/office/spreadsheetml/2009/9/main" objectType="CheckBox" fmlaLink="$AG$9" lockText="1" noThreeD="1"/>
</file>

<file path=xl/ctrlProps/ctrlProp123.xml><?xml version="1.0" encoding="utf-8"?>
<formControlPr xmlns="http://schemas.microsoft.com/office/spreadsheetml/2009/9/main" objectType="CheckBox" fmlaLink="$AG$10" lockText="1" noThreeD="1"/>
</file>

<file path=xl/ctrlProps/ctrlProp124.xml><?xml version="1.0" encoding="utf-8"?>
<formControlPr xmlns="http://schemas.microsoft.com/office/spreadsheetml/2009/9/main" objectType="CheckBox" fmlaLink="$AG$11" lockText="1" noThreeD="1"/>
</file>

<file path=xl/ctrlProps/ctrlProp125.xml><?xml version="1.0" encoding="utf-8"?>
<formControlPr xmlns="http://schemas.microsoft.com/office/spreadsheetml/2009/9/main" objectType="CheckBox" fmlaLink="$W$6" lockText="1" noThreeD="1"/>
</file>

<file path=xl/ctrlProps/ctrlProp126.xml><?xml version="1.0" encoding="utf-8"?>
<formControlPr xmlns="http://schemas.microsoft.com/office/spreadsheetml/2009/9/main" objectType="CheckBox" fmlaLink="$W$7" lockText="1" noThreeD="1"/>
</file>

<file path=xl/ctrlProps/ctrlProp127.xml><?xml version="1.0" encoding="utf-8"?>
<formControlPr xmlns="http://schemas.microsoft.com/office/spreadsheetml/2009/9/main" objectType="CheckBox" fmlaLink="$W$8" lockText="1" noThreeD="1"/>
</file>

<file path=xl/ctrlProps/ctrlProp128.xml><?xml version="1.0" encoding="utf-8"?>
<formControlPr xmlns="http://schemas.microsoft.com/office/spreadsheetml/2009/9/main" objectType="CheckBox" fmlaLink="$W$6" lockText="1" noThreeD="1"/>
</file>

<file path=xl/ctrlProps/ctrlProp129.xml><?xml version="1.0" encoding="utf-8"?>
<formControlPr xmlns="http://schemas.microsoft.com/office/spreadsheetml/2009/9/main" objectType="CheckBox" fmlaLink="$W$7" lockText="1" noThreeD="1"/>
</file>

<file path=xl/ctrlProps/ctrlProp13.xml><?xml version="1.0" encoding="utf-8"?>
<formControlPr xmlns="http://schemas.microsoft.com/office/spreadsheetml/2009/9/main" objectType="CheckBox" fmlaLink="$U$8" lockText="1" noThreeD="1"/>
</file>

<file path=xl/ctrlProps/ctrlProp130.xml><?xml version="1.0" encoding="utf-8"?>
<formControlPr xmlns="http://schemas.microsoft.com/office/spreadsheetml/2009/9/main" objectType="CheckBox" fmlaLink="$W$8" lockText="1" noThreeD="1"/>
</file>

<file path=xl/ctrlProps/ctrlProp131.xml><?xml version="1.0" encoding="utf-8"?>
<formControlPr xmlns="http://schemas.microsoft.com/office/spreadsheetml/2009/9/main" objectType="CheckBox" fmlaLink="$W$9" lockText="1" noThreeD="1"/>
</file>

<file path=xl/ctrlProps/ctrlProp132.xml><?xml version="1.0" encoding="utf-8"?>
<formControlPr xmlns="http://schemas.microsoft.com/office/spreadsheetml/2009/9/main" objectType="CheckBox" fmlaLink="$AA$5" lockText="1" noThreeD="1"/>
</file>

<file path=xl/ctrlProps/ctrlProp133.xml><?xml version="1.0" encoding="utf-8"?>
<formControlPr xmlns="http://schemas.microsoft.com/office/spreadsheetml/2009/9/main" objectType="CheckBox" fmlaLink="$AA$6" lockText="1" noThreeD="1"/>
</file>

<file path=xl/ctrlProps/ctrlProp134.xml><?xml version="1.0" encoding="utf-8"?>
<formControlPr xmlns="http://schemas.microsoft.com/office/spreadsheetml/2009/9/main" objectType="CheckBox" fmlaLink="$AA$7" lockText="1" noThreeD="1"/>
</file>

<file path=xl/ctrlProps/ctrlProp135.xml><?xml version="1.0" encoding="utf-8"?>
<formControlPr xmlns="http://schemas.microsoft.com/office/spreadsheetml/2009/9/main" objectType="CheckBox" fmlaLink="$AA$8" lockText="1" noThreeD="1"/>
</file>

<file path=xl/ctrlProps/ctrlProp136.xml><?xml version="1.0" encoding="utf-8"?>
<formControlPr xmlns="http://schemas.microsoft.com/office/spreadsheetml/2009/9/main" objectType="CheckBox" fmlaLink="$AA$9" lockText="1" noThreeD="1"/>
</file>

<file path=xl/ctrlProps/ctrlProp137.xml><?xml version="1.0" encoding="utf-8"?>
<formControlPr xmlns="http://schemas.microsoft.com/office/spreadsheetml/2009/9/main" objectType="CheckBox" fmlaLink="$AA$10" lockText="1" noThreeD="1"/>
</file>

<file path=xl/ctrlProps/ctrlProp138.xml><?xml version="1.0" encoding="utf-8"?>
<formControlPr xmlns="http://schemas.microsoft.com/office/spreadsheetml/2009/9/main" objectType="CheckBox" fmlaLink="$AA$11" lockText="1" noThreeD="1"/>
</file>

<file path=xl/ctrlProps/ctrlProp139.xml><?xml version="1.0" encoding="utf-8"?>
<formControlPr xmlns="http://schemas.microsoft.com/office/spreadsheetml/2009/9/main" objectType="Radio" firstButton="1" fmlaLink="$AA$12" lockText="1" noThreeD="1"/>
</file>

<file path=xl/ctrlProps/ctrlProp14.xml><?xml version="1.0" encoding="utf-8"?>
<formControlPr xmlns="http://schemas.microsoft.com/office/spreadsheetml/2009/9/main" objectType="CheckBox" fmlaLink="$T$6" lockText="1" noThreeD="1"/>
</file>

<file path=xl/ctrlProps/ctrlProp140.xml><?xml version="1.0" encoding="utf-8"?>
<formControlPr xmlns="http://schemas.microsoft.com/office/spreadsheetml/2009/9/main" objectType="Radio" lockText="1" noThreeD="1"/>
</file>

<file path=xl/ctrlProps/ctrlProp141.xml><?xml version="1.0" encoding="utf-8"?>
<formControlPr xmlns="http://schemas.microsoft.com/office/spreadsheetml/2009/9/main" objectType="Radio" lockText="1" noThreeD="1"/>
</file>

<file path=xl/ctrlProps/ctrlProp142.xml><?xml version="1.0" encoding="utf-8"?>
<formControlPr xmlns="http://schemas.microsoft.com/office/spreadsheetml/2009/9/main" objectType="Radio" checked="Checked" lockText="1" noThreeD="1"/>
</file>

<file path=xl/ctrlProps/ctrlProp143.xml><?xml version="1.0" encoding="utf-8"?>
<formControlPr xmlns="http://schemas.microsoft.com/office/spreadsheetml/2009/9/main" objectType="CheckBox" fmlaLink="$W$8" lockText="1" noThreeD="1"/>
</file>

<file path=xl/ctrlProps/ctrlProp144.xml><?xml version="1.0" encoding="utf-8"?>
<formControlPr xmlns="http://schemas.microsoft.com/office/spreadsheetml/2009/9/main" objectType="CheckBox" fmlaLink="$W$7" lockText="1" noThreeD="1"/>
</file>

<file path=xl/ctrlProps/ctrlProp145.xml><?xml version="1.0" encoding="utf-8"?>
<formControlPr xmlns="http://schemas.microsoft.com/office/spreadsheetml/2009/9/main" objectType="CheckBox" fmlaLink="$W$6" lockText="1" noThreeD="1"/>
</file>

<file path=xl/ctrlProps/ctrlProp146.xml><?xml version="1.0" encoding="utf-8"?>
<formControlPr xmlns="http://schemas.microsoft.com/office/spreadsheetml/2009/9/main" objectType="CheckBox" fmlaLink="$Z$10" lockText="1" noThreeD="1"/>
</file>

<file path=xl/ctrlProps/ctrlProp147.xml><?xml version="1.0" encoding="utf-8"?>
<formControlPr xmlns="http://schemas.microsoft.com/office/spreadsheetml/2009/9/main" objectType="CheckBox" fmlaLink="$Z$9" lockText="1" noThreeD="1"/>
</file>

<file path=xl/ctrlProps/ctrlProp148.xml><?xml version="1.0" encoding="utf-8"?>
<formControlPr xmlns="http://schemas.microsoft.com/office/spreadsheetml/2009/9/main" objectType="CheckBox" fmlaLink="$Z$8" lockText="1" noThreeD="1"/>
</file>

<file path=xl/ctrlProps/ctrlProp149.xml><?xml version="1.0" encoding="utf-8"?>
<formControlPr xmlns="http://schemas.microsoft.com/office/spreadsheetml/2009/9/main" objectType="CheckBox" fmlaLink="$Z$11" lockText="1" noThreeD="1"/>
</file>

<file path=xl/ctrlProps/ctrlProp15.xml><?xml version="1.0" encoding="utf-8"?>
<formControlPr xmlns="http://schemas.microsoft.com/office/spreadsheetml/2009/9/main" objectType="CheckBox" fmlaLink="$Y$8" lockText="1" noThreeD="1"/>
</file>

<file path=xl/ctrlProps/ctrlProp150.xml><?xml version="1.0" encoding="utf-8"?>
<formControlPr xmlns="http://schemas.microsoft.com/office/spreadsheetml/2009/9/main" objectType="CheckBox" fmlaLink="$Z$12" lockText="1" noThreeD="1"/>
</file>

<file path=xl/ctrlProps/ctrlProp151.xml><?xml version="1.0" encoding="utf-8"?>
<formControlPr xmlns="http://schemas.microsoft.com/office/spreadsheetml/2009/9/main" objectType="CheckBox" fmlaLink="$Z$13" lockText="1" noThreeD="1"/>
</file>

<file path=xl/ctrlProps/ctrlProp152.xml><?xml version="1.0" encoding="utf-8"?>
<formControlPr xmlns="http://schemas.microsoft.com/office/spreadsheetml/2009/9/main" objectType="CheckBox" fmlaLink="$Z$14" lockText="1" noThreeD="1"/>
</file>

<file path=xl/ctrlProps/ctrlProp153.xml><?xml version="1.0" encoding="utf-8"?>
<formControlPr xmlns="http://schemas.microsoft.com/office/spreadsheetml/2009/9/main" objectType="CheckBox" fmlaLink="$Z$6" lockText="1" noThreeD="1"/>
</file>

<file path=xl/ctrlProps/ctrlProp154.xml><?xml version="1.0" encoding="utf-8"?>
<formControlPr xmlns="http://schemas.microsoft.com/office/spreadsheetml/2009/9/main" objectType="CheckBox" fmlaLink="$Z$7" lockText="1" noThreeD="1"/>
</file>

<file path=xl/ctrlProps/ctrlProp155.xml><?xml version="1.0" encoding="utf-8"?>
<formControlPr xmlns="http://schemas.microsoft.com/office/spreadsheetml/2009/9/main" objectType="CheckBox" fmlaLink="$V$6" lockText="1" noThreeD="1"/>
</file>

<file path=xl/ctrlProps/ctrlProp156.xml><?xml version="1.0" encoding="utf-8"?>
<formControlPr xmlns="http://schemas.microsoft.com/office/spreadsheetml/2009/9/main" objectType="CheckBox" fmlaLink="$V$7" lockText="1" noThreeD="1"/>
</file>

<file path=xl/ctrlProps/ctrlProp157.xml><?xml version="1.0" encoding="utf-8"?>
<formControlPr xmlns="http://schemas.microsoft.com/office/spreadsheetml/2009/9/main" objectType="CheckBox" fmlaLink="$V$8" lockText="1" noThreeD="1"/>
</file>

<file path=xl/ctrlProps/ctrlProp158.xml><?xml version="1.0" encoding="utf-8"?>
<formControlPr xmlns="http://schemas.microsoft.com/office/spreadsheetml/2009/9/main" objectType="CheckBox" fmlaLink="$V$9" lockText="1" noThreeD="1"/>
</file>

<file path=xl/ctrlProps/ctrlProp159.xml><?xml version="1.0" encoding="utf-8"?>
<formControlPr xmlns="http://schemas.microsoft.com/office/spreadsheetml/2009/9/main" objectType="CheckBox" fmlaLink="$V$10" lockText="1" noThreeD="1"/>
</file>

<file path=xl/ctrlProps/ctrlProp16.xml><?xml version="1.0" encoding="utf-8"?>
<formControlPr xmlns="http://schemas.microsoft.com/office/spreadsheetml/2009/9/main" objectType="CheckBox" fmlaLink="$Y$13" lockText="1" noThreeD="1"/>
</file>

<file path=xl/ctrlProps/ctrlProp160.xml><?xml version="1.0" encoding="utf-8"?>
<formControlPr xmlns="http://schemas.microsoft.com/office/spreadsheetml/2009/9/main" objectType="CheckBox" fmlaLink="$V$11" lockText="1" noThreeD="1"/>
</file>

<file path=xl/ctrlProps/ctrlProp161.xml><?xml version="1.0" encoding="utf-8"?>
<formControlPr xmlns="http://schemas.microsoft.com/office/spreadsheetml/2009/9/main" objectType="CheckBox" fmlaLink="$V$12" lockText="1" noThreeD="1"/>
</file>

<file path=xl/ctrlProps/ctrlProp162.xml><?xml version="1.0" encoding="utf-8"?>
<formControlPr xmlns="http://schemas.microsoft.com/office/spreadsheetml/2009/9/main" objectType="CheckBox" fmlaLink="$V$13" lockText="1" noThreeD="1"/>
</file>

<file path=xl/ctrlProps/ctrlProp163.xml><?xml version="1.0" encoding="utf-8"?>
<formControlPr xmlns="http://schemas.microsoft.com/office/spreadsheetml/2009/9/main" objectType="CheckBox" fmlaLink="$T$6" lockText="1" noThreeD="1"/>
</file>

<file path=xl/ctrlProps/ctrlProp164.xml><?xml version="1.0" encoding="utf-8"?>
<formControlPr xmlns="http://schemas.microsoft.com/office/spreadsheetml/2009/9/main" objectType="CheckBox" fmlaLink="$T$7" lockText="1" noThreeD="1"/>
</file>

<file path=xl/ctrlProps/ctrlProp165.xml><?xml version="1.0" encoding="utf-8"?>
<formControlPr xmlns="http://schemas.microsoft.com/office/spreadsheetml/2009/9/main" objectType="CheckBox" fmlaLink="$T$8" lockText="1" noThreeD="1"/>
</file>

<file path=xl/ctrlProps/ctrlProp166.xml><?xml version="1.0" encoding="utf-8"?>
<formControlPr xmlns="http://schemas.microsoft.com/office/spreadsheetml/2009/9/main" objectType="CheckBox" fmlaLink="$S$6" lockText="1" noThreeD="1"/>
</file>

<file path=xl/ctrlProps/ctrlProp167.xml><?xml version="1.0" encoding="utf-8"?>
<formControlPr xmlns="http://schemas.microsoft.com/office/spreadsheetml/2009/9/main" objectType="CheckBox" fmlaLink="$S$7" lockText="1" noThreeD="1"/>
</file>

<file path=xl/ctrlProps/ctrlProp168.xml><?xml version="1.0" encoding="utf-8"?>
<formControlPr xmlns="http://schemas.microsoft.com/office/spreadsheetml/2009/9/main" objectType="CheckBox" fmlaLink="$X$6" lockText="1" noThreeD="1"/>
</file>

<file path=xl/ctrlProps/ctrlProp169.xml><?xml version="1.0" encoding="utf-8"?>
<formControlPr xmlns="http://schemas.microsoft.com/office/spreadsheetml/2009/9/main" objectType="Radio" firstButton="1" fmlaLink="$X$7" lockText="1" noThreeD="1"/>
</file>

<file path=xl/ctrlProps/ctrlProp17.xml><?xml version="1.0" encoding="utf-8"?>
<formControlPr xmlns="http://schemas.microsoft.com/office/spreadsheetml/2009/9/main" objectType="CheckBox" fmlaLink="$Y$6" noThreeD="1"/>
</file>

<file path=xl/ctrlProps/ctrlProp170.xml><?xml version="1.0" encoding="utf-8"?>
<formControlPr xmlns="http://schemas.microsoft.com/office/spreadsheetml/2009/9/main" objectType="Radio" lockText="1" noThreeD="1"/>
</file>

<file path=xl/ctrlProps/ctrlProp171.xml><?xml version="1.0" encoding="utf-8"?>
<formControlPr xmlns="http://schemas.microsoft.com/office/spreadsheetml/2009/9/main" objectType="Radio" checked="Checked" lockText="1" noThreeD="1"/>
</file>

<file path=xl/ctrlProps/ctrlProp172.xml><?xml version="1.0" encoding="utf-8"?>
<formControlPr xmlns="http://schemas.microsoft.com/office/spreadsheetml/2009/9/main" objectType="CheckBox" fmlaLink="$AC$6" lockText="1" noThreeD="1"/>
</file>

<file path=xl/ctrlProps/ctrlProp173.xml><?xml version="1.0" encoding="utf-8"?>
<formControlPr xmlns="http://schemas.microsoft.com/office/spreadsheetml/2009/9/main" objectType="CheckBox" fmlaLink="$X$6" lockText="1" noThreeD="1"/>
</file>

<file path=xl/ctrlProps/ctrlProp174.xml><?xml version="1.0" encoding="utf-8"?>
<formControlPr xmlns="http://schemas.microsoft.com/office/spreadsheetml/2009/9/main" objectType="CheckBox" fmlaLink="$X$7" lockText="1" noThreeD="1"/>
</file>

<file path=xl/ctrlProps/ctrlProp175.xml><?xml version="1.0" encoding="utf-8"?>
<formControlPr xmlns="http://schemas.microsoft.com/office/spreadsheetml/2009/9/main" objectType="Radio" checked="Checked" firstButton="1" fmlaLink="$M$4" lockText="1" noThreeD="1"/>
</file>

<file path=xl/ctrlProps/ctrlProp176.xml><?xml version="1.0" encoding="utf-8"?>
<formControlPr xmlns="http://schemas.microsoft.com/office/spreadsheetml/2009/9/main" objectType="Radio" lockText="1" noThreeD="1"/>
</file>

<file path=xl/ctrlProps/ctrlProp177.xml><?xml version="1.0" encoding="utf-8"?>
<formControlPr xmlns="http://schemas.microsoft.com/office/spreadsheetml/2009/9/main" objectType="Radio" lockText="1" noThreeD="1"/>
</file>

<file path=xl/ctrlProps/ctrlProp178.xml><?xml version="1.0" encoding="utf-8"?>
<formControlPr xmlns="http://schemas.microsoft.com/office/spreadsheetml/2009/9/main" objectType="Radio" lockText="1" noThreeD="1"/>
</file>

<file path=xl/ctrlProps/ctrlProp179.xml><?xml version="1.0" encoding="utf-8"?>
<formControlPr xmlns="http://schemas.microsoft.com/office/spreadsheetml/2009/9/main" objectType="Radio" lockText="1" noThreeD="1"/>
</file>

<file path=xl/ctrlProps/ctrlProp18.xml><?xml version="1.0" encoding="utf-8"?>
<formControlPr xmlns="http://schemas.microsoft.com/office/spreadsheetml/2009/9/main" objectType="CheckBox" fmlaLink="$Y$17" lockText="1" noThreeD="1"/>
</file>

<file path=xl/ctrlProps/ctrlProp180.xml><?xml version="1.0" encoding="utf-8"?>
<formControlPr xmlns="http://schemas.microsoft.com/office/spreadsheetml/2009/9/main" objectType="Radio" lockText="1" noThreeD="1"/>
</file>

<file path=xl/ctrlProps/ctrlProp181.xml><?xml version="1.0" encoding="utf-8"?>
<formControlPr xmlns="http://schemas.microsoft.com/office/spreadsheetml/2009/9/main" objectType="Radio" lockText="1" noThreeD="1"/>
</file>

<file path=xl/ctrlProps/ctrlProp182.xml><?xml version="1.0" encoding="utf-8"?>
<formControlPr xmlns="http://schemas.microsoft.com/office/spreadsheetml/2009/9/main" objectType="Radio" lockText="1" noThreeD="1"/>
</file>

<file path=xl/ctrlProps/ctrlProp183.xml><?xml version="1.0" encoding="utf-8"?>
<formControlPr xmlns="http://schemas.microsoft.com/office/spreadsheetml/2009/9/main" objectType="Radio" lockText="1" noThreeD="1"/>
</file>

<file path=xl/ctrlProps/ctrlProp184.xml><?xml version="1.0" encoding="utf-8"?>
<formControlPr xmlns="http://schemas.microsoft.com/office/spreadsheetml/2009/9/main" objectType="Radio" lockText="1" noThreeD="1"/>
</file>

<file path=xl/ctrlProps/ctrlProp185.xml><?xml version="1.0" encoding="utf-8"?>
<formControlPr xmlns="http://schemas.microsoft.com/office/spreadsheetml/2009/9/main" objectType="Radio" lockText="1" noThreeD="1"/>
</file>

<file path=xl/ctrlProps/ctrlProp186.xml><?xml version="1.0" encoding="utf-8"?>
<formControlPr xmlns="http://schemas.microsoft.com/office/spreadsheetml/2009/9/main" objectType="Radio" lockText="1" noThreeD="1"/>
</file>

<file path=xl/ctrlProps/ctrlProp187.xml><?xml version="1.0" encoding="utf-8"?>
<formControlPr xmlns="http://schemas.microsoft.com/office/spreadsheetml/2009/9/main" objectType="Radio" lockText="1" noThreeD="1"/>
</file>

<file path=xl/ctrlProps/ctrlProp188.xml><?xml version="1.0" encoding="utf-8"?>
<formControlPr xmlns="http://schemas.microsoft.com/office/spreadsheetml/2009/9/main" objectType="Radio" lockText="1" noThreeD="1"/>
</file>

<file path=xl/ctrlProps/ctrlProp189.xml><?xml version="1.0" encoding="utf-8"?>
<formControlPr xmlns="http://schemas.microsoft.com/office/spreadsheetml/2009/9/main" objectType="Radio" lockText="1" noThreeD="1"/>
</file>

<file path=xl/ctrlProps/ctrlProp19.xml><?xml version="1.0" encoding="utf-8"?>
<formControlPr xmlns="http://schemas.microsoft.com/office/spreadsheetml/2009/9/main" objectType="CheckBox" fmlaLink="$Y$7" lockText="1" noThreeD="1"/>
</file>

<file path=xl/ctrlProps/ctrlProp190.xml><?xml version="1.0" encoding="utf-8"?>
<formControlPr xmlns="http://schemas.microsoft.com/office/spreadsheetml/2009/9/main" objectType="Radio" lockText="1" noThreeD="1"/>
</file>

<file path=xl/ctrlProps/ctrlProp191.xml><?xml version="1.0" encoding="utf-8"?>
<formControlPr xmlns="http://schemas.microsoft.com/office/spreadsheetml/2009/9/main" objectType="Radio" lockText="1" noThreeD="1"/>
</file>

<file path=xl/ctrlProps/ctrlProp192.xml><?xml version="1.0" encoding="utf-8"?>
<formControlPr xmlns="http://schemas.microsoft.com/office/spreadsheetml/2009/9/main" objectType="Radio" lockText="1" noThreeD="1"/>
</file>

<file path=xl/ctrlProps/ctrlProp193.xml><?xml version="1.0" encoding="utf-8"?>
<formControlPr xmlns="http://schemas.microsoft.com/office/spreadsheetml/2009/9/main" objectType="Radio" lockText="1" noThreeD="1"/>
</file>

<file path=xl/ctrlProps/ctrlProp194.xml><?xml version="1.0" encoding="utf-8"?>
<formControlPr xmlns="http://schemas.microsoft.com/office/spreadsheetml/2009/9/main" objectType="Radio" lockText="1" noThreeD="1"/>
</file>

<file path=xl/ctrlProps/ctrlProp195.xml><?xml version="1.0" encoding="utf-8"?>
<formControlPr xmlns="http://schemas.microsoft.com/office/spreadsheetml/2009/9/main" objectType="Radio" lockText="1" noThreeD="1"/>
</file>

<file path=xl/ctrlProps/ctrlProp196.xml><?xml version="1.0" encoding="utf-8"?>
<formControlPr xmlns="http://schemas.microsoft.com/office/spreadsheetml/2009/9/main" objectType="Radio" lockText="1" noThreeD="1"/>
</file>

<file path=xl/ctrlProps/ctrlProp197.xml><?xml version="1.0" encoding="utf-8"?>
<formControlPr xmlns="http://schemas.microsoft.com/office/spreadsheetml/2009/9/main" objectType="Radio" lockText="1" noThreeD="1"/>
</file>

<file path=xl/ctrlProps/ctrlProp198.xml><?xml version="1.0" encoding="utf-8"?>
<formControlPr xmlns="http://schemas.microsoft.com/office/spreadsheetml/2009/9/main" objectType="Radio" lockText="1" noThreeD="1"/>
</file>

<file path=xl/ctrlProps/ctrlProp199.xml><?xml version="1.0" encoding="utf-8"?>
<formControlPr xmlns="http://schemas.microsoft.com/office/spreadsheetml/2009/9/main" objectType="Radio" lockText="1" noThreeD="1"/>
</file>

<file path=xl/ctrlProps/ctrlProp2.xml><?xml version="1.0" encoding="utf-8"?>
<formControlPr xmlns="http://schemas.microsoft.com/office/spreadsheetml/2009/9/main" objectType="CheckBox" fmlaLink="$AB$7" lockText="1" noThreeD="1"/>
</file>

<file path=xl/ctrlProps/ctrlProp20.xml><?xml version="1.0" encoding="utf-8"?>
<formControlPr xmlns="http://schemas.microsoft.com/office/spreadsheetml/2009/9/main" objectType="CheckBox" fmlaLink="$Y$10" lockText="1" noThreeD="1"/>
</file>

<file path=xl/ctrlProps/ctrlProp200.xml><?xml version="1.0" encoding="utf-8"?>
<formControlPr xmlns="http://schemas.microsoft.com/office/spreadsheetml/2009/9/main" objectType="Radio" lockText="1" noThreeD="1"/>
</file>

<file path=xl/ctrlProps/ctrlProp201.xml><?xml version="1.0" encoding="utf-8"?>
<formControlPr xmlns="http://schemas.microsoft.com/office/spreadsheetml/2009/9/main" objectType="Radio" lockText="1" noThreeD="1"/>
</file>

<file path=xl/ctrlProps/ctrlProp202.xml><?xml version="1.0" encoding="utf-8"?>
<formControlPr xmlns="http://schemas.microsoft.com/office/spreadsheetml/2009/9/main" objectType="Radio" lockText="1" noThreeD="1"/>
</file>

<file path=xl/ctrlProps/ctrlProp203.xml><?xml version="1.0" encoding="utf-8"?>
<formControlPr xmlns="http://schemas.microsoft.com/office/spreadsheetml/2009/9/main" objectType="Radio" lockText="1" noThreeD="1"/>
</file>

<file path=xl/ctrlProps/ctrlProp204.xml><?xml version="1.0" encoding="utf-8"?>
<formControlPr xmlns="http://schemas.microsoft.com/office/spreadsheetml/2009/9/main" objectType="Radio" lockText="1" noThreeD="1"/>
</file>

<file path=xl/ctrlProps/ctrlProp21.xml><?xml version="1.0" encoding="utf-8"?>
<formControlPr xmlns="http://schemas.microsoft.com/office/spreadsheetml/2009/9/main" objectType="CheckBox" fmlaLink="$Y$11" lockText="1" noThreeD="1"/>
</file>

<file path=xl/ctrlProps/ctrlProp22.xml><?xml version="1.0" encoding="utf-8"?>
<formControlPr xmlns="http://schemas.microsoft.com/office/spreadsheetml/2009/9/main" objectType="CheckBox" fmlaLink="$Y$12" lockText="1" noThreeD="1"/>
</file>

<file path=xl/ctrlProps/ctrlProp23.xml><?xml version="1.0" encoding="utf-8"?>
<formControlPr xmlns="http://schemas.microsoft.com/office/spreadsheetml/2009/9/main" objectType="CheckBox" fmlaLink="$Y$14" lockText="1" noThreeD="1"/>
</file>

<file path=xl/ctrlProps/ctrlProp24.xml><?xml version="1.0" encoding="utf-8"?>
<formControlPr xmlns="http://schemas.microsoft.com/office/spreadsheetml/2009/9/main" objectType="CheckBox" fmlaLink="$Y$9" lockText="1" noThreeD="1"/>
</file>

<file path=xl/ctrlProps/ctrlProp25.xml><?xml version="1.0" encoding="utf-8"?>
<formControlPr xmlns="http://schemas.microsoft.com/office/spreadsheetml/2009/9/main" objectType="CheckBox" fmlaLink="$Y$15" lockText="1" noThreeD="1"/>
</file>

<file path=xl/ctrlProps/ctrlProp26.xml><?xml version="1.0" encoding="utf-8"?>
<formControlPr xmlns="http://schemas.microsoft.com/office/spreadsheetml/2009/9/main" objectType="CheckBox" fmlaLink="$Y$16" lockText="1" noThreeD="1"/>
</file>

<file path=xl/ctrlProps/ctrlProp27.xml><?xml version="1.0" encoding="utf-8"?>
<formControlPr xmlns="http://schemas.microsoft.com/office/spreadsheetml/2009/9/main" objectType="CheckBox" fmlaLink="$Y$8" lockText="1" noThreeD="1"/>
</file>

<file path=xl/ctrlProps/ctrlProp28.xml><?xml version="1.0" encoding="utf-8"?>
<formControlPr xmlns="http://schemas.microsoft.com/office/spreadsheetml/2009/9/main" objectType="CheckBox" fmlaLink="$Y$17" lockText="1" noThreeD="1"/>
</file>

<file path=xl/ctrlProps/ctrlProp29.xml><?xml version="1.0" encoding="utf-8"?>
<formControlPr xmlns="http://schemas.microsoft.com/office/spreadsheetml/2009/9/main" objectType="CheckBox" fmlaLink="$Y$6" noThreeD="1"/>
</file>

<file path=xl/ctrlProps/ctrlProp3.xml><?xml version="1.0" encoding="utf-8"?>
<formControlPr xmlns="http://schemas.microsoft.com/office/spreadsheetml/2009/9/main" objectType="CheckBox" fmlaLink="$AB$12" lockText="1" noThreeD="1"/>
</file>

<file path=xl/ctrlProps/ctrlProp30.xml><?xml version="1.0" encoding="utf-8"?>
<formControlPr xmlns="http://schemas.microsoft.com/office/spreadsheetml/2009/9/main" objectType="CheckBox" fmlaLink="$Y$18" lockText="1" noThreeD="1"/>
</file>

<file path=xl/ctrlProps/ctrlProp31.xml><?xml version="1.0" encoding="utf-8"?>
<formControlPr xmlns="http://schemas.microsoft.com/office/spreadsheetml/2009/9/main" objectType="CheckBox" fmlaLink="$Y$7" lockText="1" noThreeD="1"/>
</file>

<file path=xl/ctrlProps/ctrlProp32.xml><?xml version="1.0" encoding="utf-8"?>
<formControlPr xmlns="http://schemas.microsoft.com/office/spreadsheetml/2009/9/main" objectType="CheckBox" fmlaLink="$Y$10" lockText="1" noThreeD="1"/>
</file>

<file path=xl/ctrlProps/ctrlProp33.xml><?xml version="1.0" encoding="utf-8"?>
<formControlPr xmlns="http://schemas.microsoft.com/office/spreadsheetml/2009/9/main" objectType="CheckBox" fmlaLink="$Y$11" lockText="1" noThreeD="1"/>
</file>

<file path=xl/ctrlProps/ctrlProp34.xml><?xml version="1.0" encoding="utf-8"?>
<formControlPr xmlns="http://schemas.microsoft.com/office/spreadsheetml/2009/9/main" objectType="CheckBox" fmlaLink="$Y$12" lockText="1" noThreeD="1"/>
</file>

<file path=xl/ctrlProps/ctrlProp35.xml><?xml version="1.0" encoding="utf-8"?>
<formControlPr xmlns="http://schemas.microsoft.com/office/spreadsheetml/2009/9/main" objectType="CheckBox" fmlaLink="$Y$14" lockText="1" noThreeD="1"/>
</file>

<file path=xl/ctrlProps/ctrlProp36.xml><?xml version="1.0" encoding="utf-8"?>
<formControlPr xmlns="http://schemas.microsoft.com/office/spreadsheetml/2009/9/main" objectType="CheckBox" fmlaLink="$Y$9" lockText="1" noThreeD="1"/>
</file>

<file path=xl/ctrlProps/ctrlProp37.xml><?xml version="1.0" encoding="utf-8"?>
<formControlPr xmlns="http://schemas.microsoft.com/office/spreadsheetml/2009/9/main" objectType="CheckBox" fmlaLink="$Y$15" lockText="1" noThreeD="1"/>
</file>

<file path=xl/ctrlProps/ctrlProp38.xml><?xml version="1.0" encoding="utf-8"?>
<formControlPr xmlns="http://schemas.microsoft.com/office/spreadsheetml/2009/9/main" objectType="CheckBox" fmlaLink="$Y$13" lockText="1" noThreeD="1"/>
</file>

<file path=xl/ctrlProps/ctrlProp39.xml><?xml version="1.0" encoding="utf-8"?>
<formControlPr xmlns="http://schemas.microsoft.com/office/spreadsheetml/2009/9/main" objectType="CheckBox" fmlaLink="$Y$16" lockText="1" noThreeD="1"/>
</file>

<file path=xl/ctrlProps/ctrlProp4.xml><?xml version="1.0" encoding="utf-8"?>
<formControlPr xmlns="http://schemas.microsoft.com/office/spreadsheetml/2009/9/main" objectType="CheckBox" fmlaLink="$AB$13" lockText="1" noThreeD="1"/>
</file>

<file path=xl/ctrlProps/ctrlProp40.xml><?xml version="1.0" encoding="utf-8"?>
<formControlPr xmlns="http://schemas.microsoft.com/office/spreadsheetml/2009/9/main" objectType="CheckBox" fmlaLink="$Y$8" lockText="1" noThreeD="1"/>
</file>

<file path=xl/ctrlProps/ctrlProp41.xml><?xml version="1.0" encoding="utf-8"?>
<formControlPr xmlns="http://schemas.microsoft.com/office/spreadsheetml/2009/9/main" objectType="CheckBox" fmlaLink="$Y$12" lockText="1" noThreeD="1"/>
</file>

<file path=xl/ctrlProps/ctrlProp42.xml><?xml version="1.0" encoding="utf-8"?>
<formControlPr xmlns="http://schemas.microsoft.com/office/spreadsheetml/2009/9/main" objectType="CheckBox" fmlaLink="$Y$15" lockText="1" noThreeD="1"/>
</file>

<file path=xl/ctrlProps/ctrlProp43.xml><?xml version="1.0" encoding="utf-8"?>
<formControlPr xmlns="http://schemas.microsoft.com/office/spreadsheetml/2009/9/main" objectType="CheckBox" fmlaLink="$Y$6" lockText="1" noThreeD="1"/>
</file>

<file path=xl/ctrlProps/ctrlProp44.xml><?xml version="1.0" encoding="utf-8"?>
<formControlPr xmlns="http://schemas.microsoft.com/office/spreadsheetml/2009/9/main" objectType="CheckBox" fmlaLink="$Y$16" lockText="1" noThreeD="1"/>
</file>

<file path=xl/ctrlProps/ctrlProp45.xml><?xml version="1.0" encoding="utf-8"?>
<formControlPr xmlns="http://schemas.microsoft.com/office/spreadsheetml/2009/9/main" objectType="CheckBox" fmlaLink="$Y$10" noThreeD="1"/>
</file>

<file path=xl/ctrlProps/ctrlProp46.xml><?xml version="1.0" encoding="utf-8"?>
<formControlPr xmlns="http://schemas.microsoft.com/office/spreadsheetml/2009/9/main" objectType="CheckBox" fmlaLink="$Y$9" lockText="1" noThreeD="1"/>
</file>

<file path=xl/ctrlProps/ctrlProp47.xml><?xml version="1.0" encoding="utf-8"?>
<formControlPr xmlns="http://schemas.microsoft.com/office/spreadsheetml/2009/9/main" objectType="CheckBox" fmlaLink="$Y$7" lockText="1" noThreeD="1"/>
</file>

<file path=xl/ctrlProps/ctrlProp48.xml><?xml version="1.0" encoding="utf-8"?>
<formControlPr xmlns="http://schemas.microsoft.com/office/spreadsheetml/2009/9/main" objectType="CheckBox" fmlaLink="$Y$11" lockText="1" noThreeD="1"/>
</file>

<file path=xl/ctrlProps/ctrlProp49.xml><?xml version="1.0" encoding="utf-8"?>
<formControlPr xmlns="http://schemas.microsoft.com/office/spreadsheetml/2009/9/main" objectType="CheckBox" fmlaLink="$Y$13" lockText="1" noThreeD="1"/>
</file>

<file path=xl/ctrlProps/ctrlProp5.xml><?xml version="1.0" encoding="utf-8"?>
<formControlPr xmlns="http://schemas.microsoft.com/office/spreadsheetml/2009/9/main" objectType="CheckBox" fmlaLink="$AB$11" lockText="1" noThreeD="1"/>
</file>

<file path=xl/ctrlProps/ctrlProp50.xml><?xml version="1.0" encoding="utf-8"?>
<formControlPr xmlns="http://schemas.microsoft.com/office/spreadsheetml/2009/9/main" objectType="CheckBox" fmlaLink="$Y$14" lockText="1" noThreeD="1"/>
</file>

<file path=xl/ctrlProps/ctrlProp51.xml><?xml version="1.0" encoding="utf-8"?>
<formControlPr xmlns="http://schemas.microsoft.com/office/spreadsheetml/2009/9/main" objectType="CheckBox" fmlaLink="$Y$17" lockText="1" noThreeD="1"/>
</file>

<file path=xl/ctrlProps/ctrlProp52.xml><?xml version="1.0" encoding="utf-8"?>
<formControlPr xmlns="http://schemas.microsoft.com/office/spreadsheetml/2009/9/main" objectType="CheckBox" fmlaLink="$Y$18" lockText="1" noThreeD="1"/>
</file>

<file path=xl/ctrlProps/ctrlProp53.xml><?xml version="1.0" encoding="utf-8"?>
<formControlPr xmlns="http://schemas.microsoft.com/office/spreadsheetml/2009/9/main" objectType="CheckBox" fmlaLink="$Y$19" lockText="1" noThreeD="1"/>
</file>

<file path=xl/ctrlProps/ctrlProp54.xml><?xml version="1.0" encoding="utf-8"?>
<formControlPr xmlns="http://schemas.microsoft.com/office/spreadsheetml/2009/9/main" objectType="CheckBox" fmlaLink="$Y$9" lockText="1" noThreeD="1"/>
</file>

<file path=xl/ctrlProps/ctrlProp55.xml><?xml version="1.0" encoding="utf-8"?>
<formControlPr xmlns="http://schemas.microsoft.com/office/spreadsheetml/2009/9/main" objectType="CheckBox" fmlaLink="$Y$11" lockText="1" noThreeD="1"/>
</file>

<file path=xl/ctrlProps/ctrlProp56.xml><?xml version="1.0" encoding="utf-8"?>
<formControlPr xmlns="http://schemas.microsoft.com/office/spreadsheetml/2009/9/main" objectType="CheckBox" fmlaLink="$Y$13" lockText="1" noThreeD="1"/>
</file>

<file path=xl/ctrlProps/ctrlProp57.xml><?xml version="1.0" encoding="utf-8"?>
<formControlPr xmlns="http://schemas.microsoft.com/office/spreadsheetml/2009/9/main" objectType="CheckBox" fmlaLink="$Y$7" lockText="1" noThreeD="1"/>
</file>

<file path=xl/ctrlProps/ctrlProp58.xml><?xml version="1.0" encoding="utf-8"?>
<formControlPr xmlns="http://schemas.microsoft.com/office/spreadsheetml/2009/9/main" objectType="CheckBox" fmlaLink="$Y$14" lockText="1" noThreeD="1"/>
</file>

<file path=xl/ctrlProps/ctrlProp59.xml><?xml version="1.0" encoding="utf-8"?>
<formControlPr xmlns="http://schemas.microsoft.com/office/spreadsheetml/2009/9/main" objectType="CheckBox" fmlaLink="$Y$8" lockText="1" noThreeD="1"/>
</file>

<file path=xl/ctrlProps/ctrlProp6.xml><?xml version="1.0" encoding="utf-8"?>
<formControlPr xmlns="http://schemas.microsoft.com/office/spreadsheetml/2009/9/main" objectType="CheckBox" fmlaLink="$AB$15" lockText="1" noThreeD="1"/>
</file>

<file path=xl/ctrlProps/ctrlProp60.xml><?xml version="1.0" encoding="utf-8"?>
<formControlPr xmlns="http://schemas.microsoft.com/office/spreadsheetml/2009/9/main" objectType="CheckBox" fmlaLink="$Y$10" lockText="1" noThreeD="1"/>
</file>

<file path=xl/ctrlProps/ctrlProp61.xml><?xml version="1.0" encoding="utf-8"?>
<formControlPr xmlns="http://schemas.microsoft.com/office/spreadsheetml/2009/9/main" objectType="CheckBox" fmlaLink="$Y$12" lockText="1" noThreeD="1"/>
</file>

<file path=xl/ctrlProps/ctrlProp62.xml><?xml version="1.0" encoding="utf-8"?>
<formControlPr xmlns="http://schemas.microsoft.com/office/spreadsheetml/2009/9/main" objectType="CheckBox" fmlaLink="$Y$6" lockText="1" noThreeD="1"/>
</file>

<file path=xl/ctrlProps/ctrlProp63.xml><?xml version="1.0" encoding="utf-8"?>
<formControlPr xmlns="http://schemas.microsoft.com/office/spreadsheetml/2009/9/main" objectType="CheckBox" fmlaLink="$Y$10" lockText="1" noThreeD="1"/>
</file>

<file path=xl/ctrlProps/ctrlProp64.xml><?xml version="1.0" encoding="utf-8"?>
<formControlPr xmlns="http://schemas.microsoft.com/office/spreadsheetml/2009/9/main" objectType="CheckBox" fmlaLink="$Y$6" lockText="1" noThreeD="1"/>
</file>

<file path=xl/ctrlProps/ctrlProp65.xml><?xml version="1.0" encoding="utf-8"?>
<formControlPr xmlns="http://schemas.microsoft.com/office/spreadsheetml/2009/9/main" objectType="CheckBox" fmlaLink="$Y$7" lockText="1" noThreeD="1"/>
</file>

<file path=xl/ctrlProps/ctrlProp66.xml><?xml version="1.0" encoding="utf-8"?>
<formControlPr xmlns="http://schemas.microsoft.com/office/spreadsheetml/2009/9/main" objectType="CheckBox" fmlaLink="$Y$8" lockText="1" noThreeD="1"/>
</file>

<file path=xl/ctrlProps/ctrlProp67.xml><?xml version="1.0" encoding="utf-8"?>
<formControlPr xmlns="http://schemas.microsoft.com/office/spreadsheetml/2009/9/main" objectType="CheckBox" fmlaLink="$Y$9" lockText="1" noThreeD="1"/>
</file>

<file path=xl/ctrlProps/ctrlProp68.xml><?xml version="1.0" encoding="utf-8"?>
<formControlPr xmlns="http://schemas.microsoft.com/office/spreadsheetml/2009/9/main" objectType="CheckBox" fmlaLink="$Y$11" lockText="1" noThreeD="1"/>
</file>

<file path=xl/ctrlProps/ctrlProp69.xml><?xml version="1.0" encoding="utf-8"?>
<formControlPr xmlns="http://schemas.microsoft.com/office/spreadsheetml/2009/9/main" objectType="CheckBox" fmlaLink="$Y$12" lockText="1" noThreeD="1"/>
</file>

<file path=xl/ctrlProps/ctrlProp7.xml><?xml version="1.0" encoding="utf-8"?>
<formControlPr xmlns="http://schemas.microsoft.com/office/spreadsheetml/2009/9/main" objectType="CheckBox" fmlaLink="$AB$16" lockText="1" noThreeD="1"/>
</file>

<file path=xl/ctrlProps/ctrlProp70.xml><?xml version="1.0" encoding="utf-8"?>
<formControlPr xmlns="http://schemas.microsoft.com/office/spreadsheetml/2009/9/main" objectType="CheckBox" fmlaLink="$Y$13" lockText="1" noThreeD="1"/>
</file>

<file path=xl/ctrlProps/ctrlProp71.xml><?xml version="1.0" encoding="utf-8"?>
<formControlPr xmlns="http://schemas.microsoft.com/office/spreadsheetml/2009/9/main" objectType="CheckBox" fmlaLink="$Y$14" noThreeD="1"/>
</file>

<file path=xl/ctrlProps/ctrlProp72.xml><?xml version="1.0" encoding="utf-8"?>
<formControlPr xmlns="http://schemas.microsoft.com/office/spreadsheetml/2009/9/main" objectType="CheckBox" fmlaLink="$Y$15" lockText="1" noThreeD="1"/>
</file>

<file path=xl/ctrlProps/ctrlProp73.xml><?xml version="1.0" encoding="utf-8"?>
<formControlPr xmlns="http://schemas.microsoft.com/office/spreadsheetml/2009/9/main" objectType="CheckBox" fmlaLink="$Y$8" lockText="1" noThreeD="1"/>
</file>

<file path=xl/ctrlProps/ctrlProp74.xml><?xml version="1.0" encoding="utf-8"?>
<formControlPr xmlns="http://schemas.microsoft.com/office/spreadsheetml/2009/9/main" objectType="CheckBox" fmlaLink="$Y$7" lockText="1" noThreeD="1"/>
</file>

<file path=xl/ctrlProps/ctrlProp75.xml><?xml version="1.0" encoding="utf-8"?>
<formControlPr xmlns="http://schemas.microsoft.com/office/spreadsheetml/2009/9/main" objectType="CheckBox" fmlaLink="$Y$6" lockText="1" noThreeD="1"/>
</file>

<file path=xl/ctrlProps/ctrlProp76.xml><?xml version="1.0" encoding="utf-8"?>
<formControlPr xmlns="http://schemas.microsoft.com/office/spreadsheetml/2009/9/main" objectType="CheckBox" fmlaLink="$Y$10" lockText="1" noThreeD="1"/>
</file>

<file path=xl/ctrlProps/ctrlProp77.xml><?xml version="1.0" encoding="utf-8"?>
<formControlPr xmlns="http://schemas.microsoft.com/office/spreadsheetml/2009/9/main" objectType="CheckBox" fmlaLink="$Y$9" lockText="1" noThreeD="1"/>
</file>

<file path=xl/ctrlProps/ctrlProp78.xml><?xml version="1.0" encoding="utf-8"?>
<formControlPr xmlns="http://schemas.microsoft.com/office/spreadsheetml/2009/9/main" objectType="CheckBox" fmlaLink="$Z$8" lockText="1" noThreeD="1"/>
</file>

<file path=xl/ctrlProps/ctrlProp79.xml><?xml version="1.0" encoding="utf-8"?>
<formControlPr xmlns="http://schemas.microsoft.com/office/spreadsheetml/2009/9/main" objectType="CheckBox" fmlaLink="$Z$12" lockText="1" noThreeD="1"/>
</file>

<file path=xl/ctrlProps/ctrlProp8.xml><?xml version="1.0" encoding="utf-8"?>
<formControlPr xmlns="http://schemas.microsoft.com/office/spreadsheetml/2009/9/main" objectType="CheckBox" fmlaLink="$AB$17" lockText="1" noThreeD="1"/>
</file>

<file path=xl/ctrlProps/ctrlProp80.xml><?xml version="1.0" encoding="utf-8"?>
<formControlPr xmlns="http://schemas.microsoft.com/office/spreadsheetml/2009/9/main" objectType="CheckBox" fmlaLink="$Z$6" lockText="1" noThreeD="1"/>
</file>

<file path=xl/ctrlProps/ctrlProp81.xml><?xml version="1.0" encoding="utf-8"?>
<formControlPr xmlns="http://schemas.microsoft.com/office/spreadsheetml/2009/9/main" objectType="CheckBox" fmlaLink="$Z$14" lockText="1" noThreeD="1"/>
</file>

<file path=xl/ctrlProps/ctrlProp82.xml><?xml version="1.0" encoding="utf-8"?>
<formControlPr xmlns="http://schemas.microsoft.com/office/spreadsheetml/2009/9/main" objectType="CheckBox" fmlaLink="$Z$7" lockText="1" noThreeD="1"/>
</file>

<file path=xl/ctrlProps/ctrlProp83.xml><?xml version="1.0" encoding="utf-8"?>
<formControlPr xmlns="http://schemas.microsoft.com/office/spreadsheetml/2009/9/main" objectType="CheckBox" fmlaLink="$Z$10" lockText="1" noThreeD="1"/>
</file>

<file path=xl/ctrlProps/ctrlProp84.xml><?xml version="1.0" encoding="utf-8"?>
<formControlPr xmlns="http://schemas.microsoft.com/office/spreadsheetml/2009/9/main" objectType="CheckBox" fmlaLink="$Z$13" lockText="1" noThreeD="1"/>
</file>

<file path=xl/ctrlProps/ctrlProp85.xml><?xml version="1.0" encoding="utf-8"?>
<formControlPr xmlns="http://schemas.microsoft.com/office/spreadsheetml/2009/9/main" objectType="CheckBox" fmlaLink="$Z$15" lockText="1" noThreeD="1"/>
</file>

<file path=xl/ctrlProps/ctrlProp86.xml><?xml version="1.0" encoding="utf-8"?>
<formControlPr xmlns="http://schemas.microsoft.com/office/spreadsheetml/2009/9/main" objectType="CheckBox" fmlaLink="$Z$16" lockText="1" noThreeD="1"/>
</file>

<file path=xl/ctrlProps/ctrlProp87.xml><?xml version="1.0" encoding="utf-8"?>
<formControlPr xmlns="http://schemas.microsoft.com/office/spreadsheetml/2009/9/main" objectType="CheckBox" fmlaLink="$Z$9" lockText="1" noThreeD="1"/>
</file>

<file path=xl/ctrlProps/ctrlProp88.xml><?xml version="1.0" encoding="utf-8"?>
<formControlPr xmlns="http://schemas.microsoft.com/office/spreadsheetml/2009/9/main" objectType="CheckBox" fmlaLink="$Z$11" lockText="1" noThreeD="1"/>
</file>

<file path=xl/ctrlProps/ctrlProp89.xml><?xml version="1.0" encoding="utf-8"?>
<formControlPr xmlns="http://schemas.microsoft.com/office/spreadsheetml/2009/9/main" objectType="Radio" firstButton="1" fmlaLink="$AA$6" lockText="1" noThreeD="1"/>
</file>

<file path=xl/ctrlProps/ctrlProp9.xml><?xml version="1.0" encoding="utf-8"?>
<formControlPr xmlns="http://schemas.microsoft.com/office/spreadsheetml/2009/9/main" objectType="CheckBox" fmlaLink="$AB$18" lockText="1" noThreeD="1"/>
</file>

<file path=xl/ctrlProps/ctrlProp90.xml><?xml version="1.0" encoding="utf-8"?>
<formControlPr xmlns="http://schemas.microsoft.com/office/spreadsheetml/2009/9/main" objectType="Radio" lockText="1" noThreeD="1"/>
</file>

<file path=xl/ctrlProps/ctrlProp91.xml><?xml version="1.0" encoding="utf-8"?>
<formControlPr xmlns="http://schemas.microsoft.com/office/spreadsheetml/2009/9/main" objectType="Radio" lockText="1" noThreeD="1"/>
</file>

<file path=xl/ctrlProps/ctrlProp92.xml><?xml version="1.0" encoding="utf-8"?>
<formControlPr xmlns="http://schemas.microsoft.com/office/spreadsheetml/2009/9/main" objectType="Radio" lockText="1" noThreeD="1"/>
</file>

<file path=xl/ctrlProps/ctrlProp93.xml><?xml version="1.0" encoding="utf-8"?>
<formControlPr xmlns="http://schemas.microsoft.com/office/spreadsheetml/2009/9/main" objectType="Radio" lockText="1" noThreeD="1"/>
</file>

<file path=xl/ctrlProps/ctrlProp94.xml><?xml version="1.0" encoding="utf-8"?>
<formControlPr xmlns="http://schemas.microsoft.com/office/spreadsheetml/2009/9/main" objectType="Radio" checked="Checked" lockText="1" noThreeD="1"/>
</file>

<file path=xl/ctrlProps/ctrlProp95.xml><?xml version="1.0" encoding="utf-8"?>
<formControlPr xmlns="http://schemas.microsoft.com/office/spreadsheetml/2009/9/main" objectType="CheckBox" fmlaLink="$X$4" lockText="1" noThreeD="1"/>
</file>

<file path=xl/ctrlProps/ctrlProp96.xml><?xml version="1.0" encoding="utf-8"?>
<formControlPr xmlns="http://schemas.microsoft.com/office/spreadsheetml/2009/9/main" objectType="CheckBox" fmlaLink="$X$5" lockText="1" noThreeD="1"/>
</file>

<file path=xl/ctrlProps/ctrlProp97.xml><?xml version="1.0" encoding="utf-8"?>
<formControlPr xmlns="http://schemas.microsoft.com/office/spreadsheetml/2009/9/main" objectType="CheckBox" fmlaLink="$X$6" lockText="1" noThreeD="1"/>
</file>

<file path=xl/ctrlProps/ctrlProp98.xml><?xml version="1.0" encoding="utf-8"?>
<formControlPr xmlns="http://schemas.microsoft.com/office/spreadsheetml/2009/9/main" objectType="CheckBox" fmlaLink="$X$7" lockText="1" noThreeD="1"/>
</file>

<file path=xl/ctrlProps/ctrlProp99.xml><?xml version="1.0" encoding="utf-8"?>
<formControlPr xmlns="http://schemas.microsoft.com/office/spreadsheetml/2009/9/main" objectType="CheckBox" fmlaLink="$X$8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#Kezd&#337;lap!A1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hyperlink" Target="#Kezd&#337;lap!A1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hyperlink" Target="#Kezd&#337;lap!A1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hyperlink" Target="#Kezd&#337;lap!A1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hyperlink" Target="#Kezd&#337;lap!A1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hyperlink" Target="#Kezd&#337;lap!A1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hyperlink" Target="#Kezd&#337;lap!A1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hyperlink" Target="#Kezd&#337;lap!A1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hyperlink" Target="#Kezd&#337;lap!A1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hyperlink" Target="#Kezd&#337;lap!A1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hyperlink" Target="#Kezd&#337;lap!A1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Kezd&#337;lap!A1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hyperlink" Target="#Kezd&#337;lap!A1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hyperlink" Target="#Kezd&#337;lap!A1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hyperlink" Target="#Kezd&#337;lap!A1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hyperlink" Target="#Kezd&#337;lap!A1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hyperlink" Target="#Kezd&#337;lap!A1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hyperlink" Target="#Kezd&#337;lap!A1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hyperlink" Target="#Kezd&#337;lap!A1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hyperlink" Target="#Kezd&#337;lap!A1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hyperlink" Target="#Kezd&#337;lap!A1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hyperlink" Target="#Kezd&#337;lap!A1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hyperlink" Target="#Kezd&#337;lap!A1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hyperlink" Target="#Kezd&#337;lap!A1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hyperlink" Target="#Kezd&#337;lap!A1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hyperlink" Target="#Kezd&#337;lap!A1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hyperlink" Target="#Kezd&#337;lap!A1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hyperlink" Target="#Kezd&#337;lap!A1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hyperlink" Target="#Kezd&#337;lap!A1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hyperlink" Target="#Kezd&#337;lap!A1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hyperlink" Target="#Kezd&#337;lap!A1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hyperlink" Target="#Kezd&#337;lap!A1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hyperlink" Target="#Kezd&#337;lap!A1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7</xdr:row>
          <xdr:rowOff>76200</xdr:rowOff>
        </xdr:from>
        <xdr:to>
          <xdr:col>2</xdr:col>
          <xdr:colOff>1085850</xdr:colOff>
          <xdr:row>8</xdr:row>
          <xdr:rowOff>123825</xdr:rowOff>
        </xdr:to>
        <xdr:sp macro="" textlink="">
          <xdr:nvSpPr>
            <xdr:cNvPr id="2049" name="Check Box 1" descr="Kisgéphajó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1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hu-HU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Belvízi kedvtelési célú vitorlás kishajó vezető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5</xdr:row>
          <xdr:rowOff>171450</xdr:rowOff>
        </xdr:from>
        <xdr:to>
          <xdr:col>3</xdr:col>
          <xdr:colOff>47625</xdr:colOff>
          <xdr:row>7</xdr:row>
          <xdr:rowOff>19050</xdr:rowOff>
        </xdr:to>
        <xdr:sp macro="" textlink="">
          <xdr:nvSpPr>
            <xdr:cNvPr id="2050" name="Check Box 2" descr="Vitorlás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1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hu-HU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Belvízi kedvtelési célú kisgéphajó vezető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11</xdr:row>
          <xdr:rowOff>38100</xdr:rowOff>
        </xdr:from>
        <xdr:to>
          <xdr:col>5</xdr:col>
          <xdr:colOff>285750</xdr:colOff>
          <xdr:row>12</xdr:row>
          <xdr:rowOff>85725</xdr:rowOff>
        </xdr:to>
        <xdr:sp macro="" textlink="">
          <xdr:nvSpPr>
            <xdr:cNvPr id="2051" name="Check Box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1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hu-HU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Van 2013 július 22 előtt megszerzett, belvízi kedvtelési célú vitorlás kishajó vezető képesítés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12</xdr:row>
          <xdr:rowOff>76200</xdr:rowOff>
        </xdr:from>
        <xdr:to>
          <xdr:col>4</xdr:col>
          <xdr:colOff>276225</xdr:colOff>
          <xdr:row>13</xdr:row>
          <xdr:rowOff>104775</xdr:rowOff>
        </xdr:to>
        <xdr:sp macro="" textlink="">
          <xdr:nvSpPr>
            <xdr:cNvPr id="2052" name="Check Box 4" hidden="1">
              <a:extLst>
                <a:ext uri="{63B3BB69-23CF-44E3-9099-C40C66FF867C}">
                  <a14:compatExt spid="_x0000_s2052"/>
                </a:ext>
                <a:ext uri="{FF2B5EF4-FFF2-40B4-BE49-F238E27FC236}">
                  <a16:creationId xmlns:a16="http://schemas.microsoft.com/office/drawing/2014/main" id="{00000000-0008-0000-0100-00000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hu-HU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Van belvízi kedvtelési célú kisgéphajó vezető képesítés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10</xdr:row>
          <xdr:rowOff>9525</xdr:rowOff>
        </xdr:from>
        <xdr:to>
          <xdr:col>5</xdr:col>
          <xdr:colOff>285750</xdr:colOff>
          <xdr:row>11</xdr:row>
          <xdr:rowOff>57150</xdr:rowOff>
        </xdr:to>
        <xdr:sp macro="" textlink="">
          <xdr:nvSpPr>
            <xdr:cNvPr id="2053" name="Check Box 5" hidden="1">
              <a:extLst>
                <a:ext uri="{63B3BB69-23CF-44E3-9099-C40C66FF867C}">
                  <a14:compatExt spid="_x0000_s2053"/>
                </a:ext>
                <a:ext uri="{FF2B5EF4-FFF2-40B4-BE49-F238E27FC236}">
                  <a16:creationId xmlns:a16="http://schemas.microsoft.com/office/drawing/2014/main" id="{00000000-0008-0000-0100-00000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hu-HU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Van 2013 július 21 után megszerzett, belvízi kedvtelési célú vitorlás kishajó vezető képesítés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13</xdr:row>
          <xdr:rowOff>123825</xdr:rowOff>
        </xdr:from>
        <xdr:to>
          <xdr:col>6</xdr:col>
          <xdr:colOff>323850</xdr:colOff>
          <xdr:row>14</xdr:row>
          <xdr:rowOff>142875</xdr:rowOff>
        </xdr:to>
        <xdr:sp macro="" textlink="">
          <xdr:nvSpPr>
            <xdr:cNvPr id="2054" name="Check Box 6" hidden="1">
              <a:extLst>
                <a:ext uri="{63B3BB69-23CF-44E3-9099-C40C66FF867C}">
                  <a14:compatExt spid="_x0000_s2054"/>
                </a:ext>
                <a:ext uri="{FF2B5EF4-FFF2-40B4-BE49-F238E27FC236}">
                  <a16:creationId xmlns:a16="http://schemas.microsoft.com/office/drawing/2014/main" id="{00000000-0008-0000-0100-00000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hu-HU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Van szolgálati célú kisgéphajó vezető vagy annál magasabb szintű géphajó vezető képesítés (UNIÓS kivételével)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14</xdr:row>
          <xdr:rowOff>171450</xdr:rowOff>
        </xdr:from>
        <xdr:to>
          <xdr:col>5</xdr:col>
          <xdr:colOff>295275</xdr:colOff>
          <xdr:row>15</xdr:row>
          <xdr:rowOff>171450</xdr:rowOff>
        </xdr:to>
        <xdr:sp macro="" textlink="">
          <xdr:nvSpPr>
            <xdr:cNvPr id="2055" name="Check Box 7" hidden="1">
              <a:extLst>
                <a:ext uri="{63B3BB69-23CF-44E3-9099-C40C66FF867C}">
                  <a14:compatExt spid="_x0000_s2055"/>
                </a:ext>
                <a:ext uri="{FF2B5EF4-FFF2-40B4-BE49-F238E27FC236}">
                  <a16:creationId xmlns:a16="http://schemas.microsoft.com/office/drawing/2014/main" id="{00000000-0008-0000-0100-00000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hu-HU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Van hivatásos vitorlás kishajó vezető vagy annál magasabb szintű vitorlás hajó vezető képesítés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16</xdr:row>
          <xdr:rowOff>19050</xdr:rowOff>
        </xdr:from>
        <xdr:to>
          <xdr:col>5</xdr:col>
          <xdr:colOff>295275</xdr:colOff>
          <xdr:row>17</xdr:row>
          <xdr:rowOff>19050</xdr:rowOff>
        </xdr:to>
        <xdr:sp macro="" textlink="">
          <xdr:nvSpPr>
            <xdr:cNvPr id="2056" name="Check Box 8" hidden="1">
              <a:extLst>
                <a:ext uri="{63B3BB69-23CF-44E3-9099-C40C66FF867C}">
                  <a14:compatExt spid="_x0000_s2056"/>
                </a:ext>
                <a:ext uri="{FF2B5EF4-FFF2-40B4-BE49-F238E27FC236}">
                  <a16:creationId xmlns:a16="http://schemas.microsoft.com/office/drawing/2014/main" id="{00000000-0008-0000-0100-00000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hu-HU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Van UNIÓS hajóvezető képesítés "V" (vitorlás) kód bejegyzéssel.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17</xdr:row>
          <xdr:rowOff>66675</xdr:rowOff>
        </xdr:from>
        <xdr:to>
          <xdr:col>5</xdr:col>
          <xdr:colOff>295275</xdr:colOff>
          <xdr:row>18</xdr:row>
          <xdr:rowOff>66675</xdr:rowOff>
        </xdr:to>
        <xdr:sp macro="" textlink="">
          <xdr:nvSpPr>
            <xdr:cNvPr id="2057" name="Check Box 9" hidden="1">
              <a:extLst>
                <a:ext uri="{63B3BB69-23CF-44E3-9099-C40C66FF867C}">
                  <a14:compatExt spid="_x0000_s2057"/>
                </a:ext>
                <a:ext uri="{FF2B5EF4-FFF2-40B4-BE49-F238E27FC236}">
                  <a16:creationId xmlns:a16="http://schemas.microsoft.com/office/drawing/2014/main" id="{00000000-0008-0000-0100-00000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hu-HU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Van UNIÓS hajóvezető képesítés "V" (vitorlás) kód bejegyzés nélkül.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18</xdr:row>
          <xdr:rowOff>28575</xdr:rowOff>
        </xdr:from>
        <xdr:to>
          <xdr:col>8</xdr:col>
          <xdr:colOff>666750</xdr:colOff>
          <xdr:row>19</xdr:row>
          <xdr:rowOff>161925</xdr:rowOff>
        </xdr:to>
        <xdr:sp macro="" textlink="">
          <xdr:nvSpPr>
            <xdr:cNvPr id="2058" name="Check Box 10" hidden="1">
              <a:extLst>
                <a:ext uri="{63B3BB69-23CF-44E3-9099-C40C66FF867C}">
                  <a14:compatExt spid="_x0000_s2058"/>
                </a:ext>
                <a:ext uri="{FF2B5EF4-FFF2-40B4-BE49-F238E27FC236}">
                  <a16:creationId xmlns:a16="http://schemas.microsoft.com/office/drawing/2014/main" id="{00000000-0008-0000-0100-00000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hu-HU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Rendelkezik hajózási képesítéssel és iskolarendszerű képzésben, a vizsgatárgyból azonos, vagy magasabb szinten sikeres vizsgát tett (felmentési kérelem)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19</xdr:row>
          <xdr:rowOff>85725</xdr:rowOff>
        </xdr:from>
        <xdr:to>
          <xdr:col>3</xdr:col>
          <xdr:colOff>762000</xdr:colOff>
          <xdr:row>20</xdr:row>
          <xdr:rowOff>180975</xdr:rowOff>
        </xdr:to>
        <xdr:sp macro="" textlink="">
          <xdr:nvSpPr>
            <xdr:cNvPr id="2059" name="Check Box 11" hidden="1">
              <a:extLst>
                <a:ext uri="{63B3BB69-23CF-44E3-9099-C40C66FF867C}">
                  <a14:compatExt spid="_x0000_s2059"/>
                </a:ext>
                <a:ext uri="{FF2B5EF4-FFF2-40B4-BE49-F238E27FC236}">
                  <a16:creationId xmlns:a16="http://schemas.microsoft.com/office/drawing/2014/main" id="{00000000-0008-0000-0100-00000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hu-HU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Van hajózási szakképzésben szerzett képesítő bizonyítvány</a:t>
              </a:r>
            </a:p>
          </xdr:txBody>
        </xdr:sp>
        <xdr:clientData/>
      </xdr:twoCellAnchor>
    </mc:Choice>
    <mc:Fallback/>
  </mc:AlternateContent>
  <xdr:twoCellAnchor>
    <xdr:from>
      <xdr:col>0</xdr:col>
      <xdr:colOff>0</xdr:colOff>
      <xdr:row>0</xdr:row>
      <xdr:rowOff>0</xdr:rowOff>
    </xdr:from>
    <xdr:to>
      <xdr:col>1</xdr:col>
      <xdr:colOff>914400</xdr:colOff>
      <xdr:row>2</xdr:row>
      <xdr:rowOff>133351</xdr:rowOff>
    </xdr:to>
    <xdr:sp macro="" textlink="">
      <xdr:nvSpPr>
        <xdr:cNvPr id="13" name="Nyíl: balra mutató 1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SpPr/>
      </xdr:nvSpPr>
      <xdr:spPr>
        <a:xfrm>
          <a:off x="0" y="0"/>
          <a:ext cx="1524000" cy="514351"/>
        </a:xfrm>
        <a:prstGeom prst="leftArrow">
          <a:avLst/>
        </a:prstGeom>
        <a:solidFill>
          <a:schemeClr val="bg2">
            <a:lumMod val="75000"/>
          </a:schemeClr>
        </a:solidFill>
        <a:ln>
          <a:solidFill>
            <a:sysClr val="windowText" lastClr="000000"/>
          </a:solidFill>
        </a:ln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hu-HU" sz="1100" b="1">
              <a:solidFill>
                <a:sysClr val="windowText" lastClr="000000"/>
              </a:solidFill>
            </a:rPr>
            <a:t>Vissza a kezdőlapra</a:t>
          </a: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57150</xdr:colOff>
          <xdr:row>13</xdr:row>
          <xdr:rowOff>152400</xdr:rowOff>
        </xdr:from>
        <xdr:to>
          <xdr:col>6</xdr:col>
          <xdr:colOff>914400</xdr:colOff>
          <xdr:row>15</xdr:row>
          <xdr:rowOff>0</xdr:rowOff>
        </xdr:to>
        <xdr:sp macro="" textlink="">
          <xdr:nvSpPr>
            <xdr:cNvPr id="13313" name="Check Box 1" hidden="1">
              <a:extLst>
                <a:ext uri="{63B3BB69-23CF-44E3-9099-C40C66FF867C}">
                  <a14:compatExt spid="_x0000_s13313"/>
                </a:ext>
                <a:ext uri="{FF2B5EF4-FFF2-40B4-BE49-F238E27FC236}">
                  <a16:creationId xmlns:a16="http://schemas.microsoft.com/office/drawing/2014/main" id="{00000000-0008-0000-0A00-000001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hu-HU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Van hajózási szakképzésben szerzett bizonyítvány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57150</xdr:colOff>
          <xdr:row>8</xdr:row>
          <xdr:rowOff>180975</xdr:rowOff>
        </xdr:from>
        <xdr:to>
          <xdr:col>5</xdr:col>
          <xdr:colOff>828675</xdr:colOff>
          <xdr:row>10</xdr:row>
          <xdr:rowOff>38100</xdr:rowOff>
        </xdr:to>
        <xdr:sp macro="" textlink="">
          <xdr:nvSpPr>
            <xdr:cNvPr id="13314" name="Check Box 2" hidden="1">
              <a:extLst>
                <a:ext uri="{63B3BB69-23CF-44E3-9099-C40C66FF867C}">
                  <a14:compatExt spid="_x0000_s13314"/>
                </a:ext>
                <a:ext uri="{FF2B5EF4-FFF2-40B4-BE49-F238E27FC236}">
                  <a16:creationId xmlns:a16="http://schemas.microsoft.com/office/drawing/2014/main" id="{00000000-0008-0000-0A00-000002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hu-HU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Van szolgálati célú vagy hivatásos kishajó vezetői képesítés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57150</xdr:colOff>
          <xdr:row>10</xdr:row>
          <xdr:rowOff>47625</xdr:rowOff>
        </xdr:from>
        <xdr:to>
          <xdr:col>5</xdr:col>
          <xdr:colOff>828675</xdr:colOff>
          <xdr:row>11</xdr:row>
          <xdr:rowOff>95250</xdr:rowOff>
        </xdr:to>
        <xdr:sp macro="" textlink="">
          <xdr:nvSpPr>
            <xdr:cNvPr id="13315" name="Check Box 3" hidden="1">
              <a:extLst>
                <a:ext uri="{63B3BB69-23CF-44E3-9099-C40C66FF867C}">
                  <a14:compatExt spid="_x0000_s13315"/>
                </a:ext>
                <a:ext uri="{FF2B5EF4-FFF2-40B4-BE49-F238E27FC236}">
                  <a16:creationId xmlns:a16="http://schemas.microsoft.com/office/drawing/2014/main" id="{00000000-0008-0000-0A00-000003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hu-HU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Van géphajó kormányosi képesítés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57150</xdr:colOff>
          <xdr:row>11</xdr:row>
          <xdr:rowOff>95250</xdr:rowOff>
        </xdr:from>
        <xdr:to>
          <xdr:col>4</xdr:col>
          <xdr:colOff>533400</xdr:colOff>
          <xdr:row>12</xdr:row>
          <xdr:rowOff>123825</xdr:rowOff>
        </xdr:to>
        <xdr:sp macro="" textlink="">
          <xdr:nvSpPr>
            <xdr:cNvPr id="13316" name="Check Box 4" hidden="1">
              <a:extLst>
                <a:ext uri="{63B3BB69-23CF-44E3-9099-C40C66FF867C}">
                  <a14:compatExt spid="_x0000_s13316"/>
                </a:ext>
                <a:ext uri="{FF2B5EF4-FFF2-40B4-BE49-F238E27FC236}">
                  <a16:creationId xmlns:a16="http://schemas.microsoft.com/office/drawing/2014/main" id="{00000000-0008-0000-0A00-000004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hu-HU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Van révész képesítés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57150</xdr:colOff>
          <xdr:row>12</xdr:row>
          <xdr:rowOff>123825</xdr:rowOff>
        </xdr:from>
        <xdr:to>
          <xdr:col>4</xdr:col>
          <xdr:colOff>533400</xdr:colOff>
          <xdr:row>13</xdr:row>
          <xdr:rowOff>152400</xdr:rowOff>
        </xdr:to>
        <xdr:sp macro="" textlink="">
          <xdr:nvSpPr>
            <xdr:cNvPr id="13317" name="Check Box 5" hidden="1">
              <a:extLst>
                <a:ext uri="{63B3BB69-23CF-44E3-9099-C40C66FF867C}">
                  <a14:compatExt spid="_x0000_s13317"/>
                </a:ext>
                <a:ext uri="{FF2B5EF4-FFF2-40B4-BE49-F238E27FC236}">
                  <a16:creationId xmlns:a16="http://schemas.microsoft.com/office/drawing/2014/main" id="{00000000-0008-0000-0A00-000005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hu-HU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Van révész A képesítés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57150</xdr:colOff>
          <xdr:row>15</xdr:row>
          <xdr:rowOff>9525</xdr:rowOff>
        </xdr:from>
        <xdr:to>
          <xdr:col>4</xdr:col>
          <xdr:colOff>533400</xdr:colOff>
          <xdr:row>16</xdr:row>
          <xdr:rowOff>38100</xdr:rowOff>
        </xdr:to>
        <xdr:sp macro="" textlink="">
          <xdr:nvSpPr>
            <xdr:cNvPr id="13318" name="Check Box 6" hidden="1">
              <a:extLst>
                <a:ext uri="{63B3BB69-23CF-44E3-9099-C40C66FF867C}">
                  <a14:compatExt spid="_x0000_s13318"/>
                </a:ext>
                <a:ext uri="{FF2B5EF4-FFF2-40B4-BE49-F238E27FC236}">
                  <a16:creationId xmlns:a16="http://schemas.microsoft.com/office/drawing/2014/main" id="{00000000-0008-0000-0A00-000006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hu-HU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Van UMG vezető képesítés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57150</xdr:colOff>
          <xdr:row>7</xdr:row>
          <xdr:rowOff>161925</xdr:rowOff>
        </xdr:from>
        <xdr:to>
          <xdr:col>6</xdr:col>
          <xdr:colOff>819150</xdr:colOff>
          <xdr:row>8</xdr:row>
          <xdr:rowOff>180975</xdr:rowOff>
        </xdr:to>
        <xdr:sp macro="" textlink="">
          <xdr:nvSpPr>
            <xdr:cNvPr id="13319" name="Check Box 7" hidden="1">
              <a:extLst>
                <a:ext uri="{63B3BB69-23CF-44E3-9099-C40C66FF867C}">
                  <a14:compatExt spid="_x0000_s13319"/>
                </a:ext>
                <a:ext uri="{FF2B5EF4-FFF2-40B4-BE49-F238E27FC236}">
                  <a16:creationId xmlns:a16="http://schemas.microsoft.com/office/drawing/2014/main" id="{00000000-0008-0000-0A00-000007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hu-HU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Van hivatásos kishajó vezető "A" képesítés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57150</xdr:colOff>
          <xdr:row>16</xdr:row>
          <xdr:rowOff>38100</xdr:rowOff>
        </xdr:from>
        <xdr:to>
          <xdr:col>4</xdr:col>
          <xdr:colOff>533400</xdr:colOff>
          <xdr:row>17</xdr:row>
          <xdr:rowOff>66675</xdr:rowOff>
        </xdr:to>
        <xdr:sp macro="" textlink="">
          <xdr:nvSpPr>
            <xdr:cNvPr id="13320" name="Check Box 8" hidden="1">
              <a:extLst>
                <a:ext uri="{63B3BB69-23CF-44E3-9099-C40C66FF867C}">
                  <a14:compatExt spid="_x0000_s13320"/>
                </a:ext>
                <a:ext uri="{FF2B5EF4-FFF2-40B4-BE49-F238E27FC236}">
                  <a16:creationId xmlns:a16="http://schemas.microsoft.com/office/drawing/2014/main" id="{00000000-0008-0000-0A00-000008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hu-HU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Van gépkezelő, géptiszt vagy gépész képesítés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57150</xdr:colOff>
          <xdr:row>6</xdr:row>
          <xdr:rowOff>142875</xdr:rowOff>
        </xdr:from>
        <xdr:to>
          <xdr:col>6</xdr:col>
          <xdr:colOff>819150</xdr:colOff>
          <xdr:row>7</xdr:row>
          <xdr:rowOff>161925</xdr:rowOff>
        </xdr:to>
        <xdr:sp macro="" textlink="">
          <xdr:nvSpPr>
            <xdr:cNvPr id="13321" name="Check Box 9" hidden="1">
              <a:extLst>
                <a:ext uri="{63B3BB69-23CF-44E3-9099-C40C66FF867C}">
                  <a14:compatExt spid="_x0000_s13321"/>
                </a:ext>
                <a:ext uri="{FF2B5EF4-FFF2-40B4-BE49-F238E27FC236}">
                  <a16:creationId xmlns:a16="http://schemas.microsoft.com/office/drawing/2014/main" id="{00000000-0008-0000-0A00-000009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hu-HU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Van  "A" vagy "B" vagy "C" kategóriájú hajóvezető vagy fedélzeti tiszt képesítés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57150</xdr:colOff>
          <xdr:row>17</xdr:row>
          <xdr:rowOff>66675</xdr:rowOff>
        </xdr:from>
        <xdr:to>
          <xdr:col>7</xdr:col>
          <xdr:colOff>1038225</xdr:colOff>
          <xdr:row>18</xdr:row>
          <xdr:rowOff>161925</xdr:rowOff>
        </xdr:to>
        <xdr:sp macro="" textlink="">
          <xdr:nvSpPr>
            <xdr:cNvPr id="13322" name="Check Box 10" hidden="1">
              <a:extLst>
                <a:ext uri="{63B3BB69-23CF-44E3-9099-C40C66FF867C}">
                  <a14:compatExt spid="_x0000_s13322"/>
                </a:ext>
                <a:ext uri="{FF2B5EF4-FFF2-40B4-BE49-F238E27FC236}">
                  <a16:creationId xmlns:a16="http://schemas.microsoft.com/office/drawing/2014/main" id="{00000000-0008-0000-0A00-00000A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hu-HU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Rendelkezik hajózási képesítéssel és iskolarendszerű képzésben, a vizsgatárgyból azonos, vagy magasabb szinten sikeres vizsgát tett (felmentési kérelem)</a:t>
              </a:r>
            </a:p>
          </xdr:txBody>
        </xdr:sp>
        <xdr:clientData/>
      </xdr:twoCellAnchor>
    </mc:Choice>
    <mc:Fallback/>
  </mc:AlternateContent>
  <xdr:twoCellAnchor>
    <xdr:from>
      <xdr:col>0</xdr:col>
      <xdr:colOff>0</xdr:colOff>
      <xdr:row>0</xdr:row>
      <xdr:rowOff>0</xdr:rowOff>
    </xdr:from>
    <xdr:to>
      <xdr:col>1</xdr:col>
      <xdr:colOff>914400</xdr:colOff>
      <xdr:row>2</xdr:row>
      <xdr:rowOff>133351</xdr:rowOff>
    </xdr:to>
    <xdr:sp macro="" textlink="">
      <xdr:nvSpPr>
        <xdr:cNvPr id="12" name="Nyíl: balra mutató 1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A00-00000C000000}"/>
            </a:ext>
          </a:extLst>
        </xdr:cNvPr>
        <xdr:cNvSpPr/>
      </xdr:nvSpPr>
      <xdr:spPr>
        <a:xfrm>
          <a:off x="0" y="0"/>
          <a:ext cx="1524000" cy="514351"/>
        </a:xfrm>
        <a:prstGeom prst="leftArrow">
          <a:avLst/>
        </a:prstGeom>
        <a:solidFill>
          <a:schemeClr val="bg2">
            <a:lumMod val="75000"/>
          </a:schemeClr>
        </a:solidFill>
        <a:ln>
          <a:solidFill>
            <a:sysClr val="windowText" lastClr="000000"/>
          </a:solidFill>
        </a:ln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hu-HU" sz="1100" b="1">
              <a:solidFill>
                <a:sysClr val="windowText" lastClr="000000"/>
              </a:solidFill>
            </a:rPr>
            <a:t>Vissza a kezdőlapra</a:t>
          </a:r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57150</xdr:colOff>
          <xdr:row>9</xdr:row>
          <xdr:rowOff>95250</xdr:rowOff>
        </xdr:from>
        <xdr:to>
          <xdr:col>4</xdr:col>
          <xdr:colOff>504825</xdr:colOff>
          <xdr:row>10</xdr:row>
          <xdr:rowOff>114300</xdr:rowOff>
        </xdr:to>
        <xdr:sp macro="" textlink="">
          <xdr:nvSpPr>
            <xdr:cNvPr id="15361" name="Check Box 1" hidden="1">
              <a:extLst>
                <a:ext uri="{63B3BB69-23CF-44E3-9099-C40C66FF867C}">
                  <a14:compatExt spid="_x0000_s15361"/>
                </a:ext>
                <a:ext uri="{FF2B5EF4-FFF2-40B4-BE49-F238E27FC236}">
                  <a16:creationId xmlns:a16="http://schemas.microsoft.com/office/drawing/2014/main" id="{00000000-0008-0000-0B00-000001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hu-HU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Van gépkezelő vagy géptiszt képesítés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57150</xdr:colOff>
          <xdr:row>7</xdr:row>
          <xdr:rowOff>180975</xdr:rowOff>
        </xdr:from>
        <xdr:to>
          <xdr:col>4</xdr:col>
          <xdr:colOff>390525</xdr:colOff>
          <xdr:row>9</xdr:row>
          <xdr:rowOff>19050</xdr:rowOff>
        </xdr:to>
        <xdr:sp macro="" textlink="">
          <xdr:nvSpPr>
            <xdr:cNvPr id="15362" name="Check Box 2" hidden="1">
              <a:extLst>
                <a:ext uri="{63B3BB69-23CF-44E3-9099-C40C66FF867C}">
                  <a14:compatExt spid="_x0000_s15362"/>
                </a:ext>
                <a:ext uri="{FF2B5EF4-FFF2-40B4-BE49-F238E27FC236}">
                  <a16:creationId xmlns:a16="http://schemas.microsoft.com/office/drawing/2014/main" id="{00000000-0008-0000-0B00-000002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hu-HU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Van gépnélküli hajó vezető képesítés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57150</xdr:colOff>
          <xdr:row>6</xdr:row>
          <xdr:rowOff>0</xdr:rowOff>
        </xdr:from>
        <xdr:to>
          <xdr:col>5</xdr:col>
          <xdr:colOff>866775</xdr:colOff>
          <xdr:row>8</xdr:row>
          <xdr:rowOff>9525</xdr:rowOff>
        </xdr:to>
        <xdr:sp macro="" textlink="">
          <xdr:nvSpPr>
            <xdr:cNvPr id="15363" name="Check Box 3" hidden="1">
              <a:extLst>
                <a:ext uri="{63B3BB69-23CF-44E3-9099-C40C66FF867C}">
                  <a14:compatExt spid="_x0000_s15363"/>
                </a:ext>
                <a:ext uri="{FF2B5EF4-FFF2-40B4-BE49-F238E27FC236}">
                  <a16:creationId xmlns:a16="http://schemas.microsoft.com/office/drawing/2014/main" id="{00000000-0008-0000-0B00-000003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hu-HU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Van szolgálati célú kisgéphajó vezetői vagy hivatásos kishajó vezetői vagy  magasabb szintű hajóvezetői képesítés vagy UMG vezetői vagy géphajó kormányosi vagy révész "A" képesítés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57150</xdr:colOff>
          <xdr:row>10</xdr:row>
          <xdr:rowOff>142875</xdr:rowOff>
        </xdr:from>
        <xdr:to>
          <xdr:col>7</xdr:col>
          <xdr:colOff>276225</xdr:colOff>
          <xdr:row>12</xdr:row>
          <xdr:rowOff>47625</xdr:rowOff>
        </xdr:to>
        <xdr:sp macro="" textlink="">
          <xdr:nvSpPr>
            <xdr:cNvPr id="15364" name="Check Box 4" hidden="1">
              <a:extLst>
                <a:ext uri="{63B3BB69-23CF-44E3-9099-C40C66FF867C}">
                  <a14:compatExt spid="_x0000_s15364"/>
                </a:ext>
                <a:ext uri="{FF2B5EF4-FFF2-40B4-BE49-F238E27FC236}">
                  <a16:creationId xmlns:a16="http://schemas.microsoft.com/office/drawing/2014/main" id="{00000000-0008-0000-0B00-000004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hu-HU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Rendelkezik hajózási képesítéssel és iskolarendszerű képzésben, a vizsgatárgyból azonos, vagy magasabb szinten sikeres vizsgát tett (felmentési kérelem)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57150</xdr:colOff>
          <xdr:row>12</xdr:row>
          <xdr:rowOff>95250</xdr:rowOff>
        </xdr:from>
        <xdr:to>
          <xdr:col>6</xdr:col>
          <xdr:colOff>676275</xdr:colOff>
          <xdr:row>13</xdr:row>
          <xdr:rowOff>133350</xdr:rowOff>
        </xdr:to>
        <xdr:sp macro="" textlink="">
          <xdr:nvSpPr>
            <xdr:cNvPr id="15365" name="Check Box 5" hidden="1">
              <a:extLst>
                <a:ext uri="{63B3BB69-23CF-44E3-9099-C40C66FF867C}">
                  <a14:compatExt spid="_x0000_s15365"/>
                </a:ext>
                <a:ext uri="{FF2B5EF4-FFF2-40B4-BE49-F238E27FC236}">
                  <a16:creationId xmlns:a16="http://schemas.microsoft.com/office/drawing/2014/main" id="{00000000-0008-0000-0B00-000005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hu-HU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Van hajózási szakképzésben szerzett bizonyítvány</a:t>
              </a:r>
            </a:p>
          </xdr:txBody>
        </xdr:sp>
        <xdr:clientData/>
      </xdr:twoCellAnchor>
    </mc:Choice>
    <mc:Fallback/>
  </mc:AlternateContent>
  <xdr:twoCellAnchor>
    <xdr:from>
      <xdr:col>0</xdr:col>
      <xdr:colOff>0</xdr:colOff>
      <xdr:row>0</xdr:row>
      <xdr:rowOff>0</xdr:rowOff>
    </xdr:from>
    <xdr:to>
      <xdr:col>1</xdr:col>
      <xdr:colOff>914400</xdr:colOff>
      <xdr:row>2</xdr:row>
      <xdr:rowOff>133351</xdr:rowOff>
    </xdr:to>
    <xdr:sp macro="" textlink="">
      <xdr:nvSpPr>
        <xdr:cNvPr id="7" name="Nyíl: balra mutató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B00-000007000000}"/>
            </a:ext>
          </a:extLst>
        </xdr:cNvPr>
        <xdr:cNvSpPr/>
      </xdr:nvSpPr>
      <xdr:spPr>
        <a:xfrm>
          <a:off x="0" y="0"/>
          <a:ext cx="1524000" cy="514351"/>
        </a:xfrm>
        <a:prstGeom prst="leftArrow">
          <a:avLst/>
        </a:prstGeom>
        <a:solidFill>
          <a:schemeClr val="bg2">
            <a:lumMod val="75000"/>
          </a:schemeClr>
        </a:solidFill>
        <a:ln>
          <a:solidFill>
            <a:sysClr val="windowText" lastClr="000000"/>
          </a:solidFill>
        </a:ln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hu-HU" sz="1100" b="1">
              <a:solidFill>
                <a:sysClr val="windowText" lastClr="000000"/>
              </a:solidFill>
            </a:rPr>
            <a:t>Vissza a kezdőlapra</a:t>
          </a:r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914400</xdr:colOff>
      <xdr:row>2</xdr:row>
      <xdr:rowOff>133351</xdr:rowOff>
    </xdr:to>
    <xdr:sp macro="" textlink="">
      <xdr:nvSpPr>
        <xdr:cNvPr id="2" name="Nyíl: balra mutató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SpPr/>
      </xdr:nvSpPr>
      <xdr:spPr>
        <a:xfrm>
          <a:off x="0" y="0"/>
          <a:ext cx="1524000" cy="514351"/>
        </a:xfrm>
        <a:prstGeom prst="leftArrow">
          <a:avLst/>
        </a:prstGeom>
        <a:solidFill>
          <a:schemeClr val="bg2">
            <a:lumMod val="75000"/>
          </a:schemeClr>
        </a:solidFill>
        <a:ln>
          <a:solidFill>
            <a:sysClr val="windowText" lastClr="000000"/>
          </a:solidFill>
        </a:ln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hu-HU" sz="1100" b="1">
              <a:solidFill>
                <a:sysClr val="windowText" lastClr="000000"/>
              </a:solidFill>
            </a:rPr>
            <a:t>Vissza a kezdőlapra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57150</xdr:colOff>
          <xdr:row>12</xdr:row>
          <xdr:rowOff>47625</xdr:rowOff>
        </xdr:from>
        <xdr:to>
          <xdr:col>5</xdr:col>
          <xdr:colOff>600075</xdr:colOff>
          <xdr:row>13</xdr:row>
          <xdr:rowOff>95250</xdr:rowOff>
        </xdr:to>
        <xdr:sp macro="" textlink="">
          <xdr:nvSpPr>
            <xdr:cNvPr id="16385" name="Check Box 1" descr="Van belvízi kedvtelési célú kishajó vezetői képesítés" hidden="1">
              <a:extLst>
                <a:ext uri="{63B3BB69-23CF-44E3-9099-C40C66FF867C}">
                  <a14:compatExt spid="_x0000_s16385"/>
                </a:ext>
                <a:ext uri="{FF2B5EF4-FFF2-40B4-BE49-F238E27FC236}">
                  <a16:creationId xmlns:a16="http://schemas.microsoft.com/office/drawing/2014/main" id="{00000000-0008-0000-0C00-000001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hu-HU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Van belvízi kedvtelési célú kishajó vezetői képesítés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57150</xdr:colOff>
          <xdr:row>15</xdr:row>
          <xdr:rowOff>66675</xdr:rowOff>
        </xdr:from>
        <xdr:to>
          <xdr:col>4</xdr:col>
          <xdr:colOff>476250</xdr:colOff>
          <xdr:row>16</xdr:row>
          <xdr:rowOff>85725</xdr:rowOff>
        </xdr:to>
        <xdr:sp macro="" textlink="">
          <xdr:nvSpPr>
            <xdr:cNvPr id="16386" name="Check Box 2" hidden="1">
              <a:extLst>
                <a:ext uri="{63B3BB69-23CF-44E3-9099-C40C66FF867C}">
                  <a14:compatExt spid="_x0000_s16386"/>
                </a:ext>
                <a:ext uri="{FF2B5EF4-FFF2-40B4-BE49-F238E27FC236}">
                  <a16:creationId xmlns:a16="http://schemas.microsoft.com/office/drawing/2014/main" id="{00000000-0008-0000-0C00-000002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hu-HU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Van révész A képesítés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57150</xdr:colOff>
          <xdr:row>7</xdr:row>
          <xdr:rowOff>171450</xdr:rowOff>
        </xdr:from>
        <xdr:to>
          <xdr:col>5</xdr:col>
          <xdr:colOff>600075</xdr:colOff>
          <xdr:row>9</xdr:row>
          <xdr:rowOff>28575</xdr:rowOff>
        </xdr:to>
        <xdr:sp macro="" textlink="">
          <xdr:nvSpPr>
            <xdr:cNvPr id="16387" name="Check Box 3" hidden="1">
              <a:extLst>
                <a:ext uri="{63B3BB69-23CF-44E3-9099-C40C66FF867C}">
                  <a14:compatExt spid="_x0000_s16387"/>
                </a:ext>
                <a:ext uri="{FF2B5EF4-FFF2-40B4-BE49-F238E27FC236}">
                  <a16:creationId xmlns:a16="http://schemas.microsoft.com/office/drawing/2014/main" id="{00000000-0008-0000-0C00-000003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hu-HU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Van szolgálati célú vagy hivatásos kishajó vezetői képesítés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57150</xdr:colOff>
          <xdr:row>18</xdr:row>
          <xdr:rowOff>0</xdr:rowOff>
        </xdr:from>
        <xdr:to>
          <xdr:col>6</xdr:col>
          <xdr:colOff>714375</xdr:colOff>
          <xdr:row>19</xdr:row>
          <xdr:rowOff>28575</xdr:rowOff>
        </xdr:to>
        <xdr:sp macro="" textlink="">
          <xdr:nvSpPr>
            <xdr:cNvPr id="16388" name="Check Box 4" descr="Tengeri hajón, fedélzeti személyzet tagjaként legalább 9 hónap munkatapasztalat" hidden="1">
              <a:extLst>
                <a:ext uri="{63B3BB69-23CF-44E3-9099-C40C66FF867C}">
                  <a14:compatExt spid="_x0000_s16388"/>
                </a:ext>
                <a:ext uri="{FF2B5EF4-FFF2-40B4-BE49-F238E27FC236}">
                  <a16:creationId xmlns:a16="http://schemas.microsoft.com/office/drawing/2014/main" id="{00000000-0008-0000-0C00-000004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hu-HU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Tengeri hajón, fedélzeti személyzet tagjaként legalább 9 hónap munkatapasztalat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57150</xdr:colOff>
          <xdr:row>9</xdr:row>
          <xdr:rowOff>76200</xdr:rowOff>
        </xdr:from>
        <xdr:to>
          <xdr:col>5</xdr:col>
          <xdr:colOff>600075</xdr:colOff>
          <xdr:row>10</xdr:row>
          <xdr:rowOff>123825</xdr:rowOff>
        </xdr:to>
        <xdr:sp macro="" textlink="">
          <xdr:nvSpPr>
            <xdr:cNvPr id="16389" name="Check Box 5" hidden="1">
              <a:extLst>
                <a:ext uri="{63B3BB69-23CF-44E3-9099-C40C66FF867C}">
                  <a14:compatExt spid="_x0000_s16389"/>
                </a:ext>
                <a:ext uri="{FF2B5EF4-FFF2-40B4-BE49-F238E27FC236}">
                  <a16:creationId xmlns:a16="http://schemas.microsoft.com/office/drawing/2014/main" id="{00000000-0008-0000-0C00-000005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hu-HU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Van hivatásos kishajó vezető A képesítés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57150</xdr:colOff>
          <xdr:row>13</xdr:row>
          <xdr:rowOff>161925</xdr:rowOff>
        </xdr:from>
        <xdr:to>
          <xdr:col>4</xdr:col>
          <xdr:colOff>361950</xdr:colOff>
          <xdr:row>15</xdr:row>
          <xdr:rowOff>0</xdr:rowOff>
        </xdr:to>
        <xdr:sp macro="" textlink="">
          <xdr:nvSpPr>
            <xdr:cNvPr id="16390" name="Check Box 6" hidden="1">
              <a:extLst>
                <a:ext uri="{63B3BB69-23CF-44E3-9099-C40C66FF867C}">
                  <a14:compatExt spid="_x0000_s16390"/>
                </a:ext>
                <a:ext uri="{FF2B5EF4-FFF2-40B4-BE49-F238E27FC236}">
                  <a16:creationId xmlns:a16="http://schemas.microsoft.com/office/drawing/2014/main" id="{00000000-0008-0000-0C00-000006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hu-HU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Van géphajó kormányos képesítés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57150</xdr:colOff>
          <xdr:row>16</xdr:row>
          <xdr:rowOff>133350</xdr:rowOff>
        </xdr:from>
        <xdr:to>
          <xdr:col>4</xdr:col>
          <xdr:colOff>361950</xdr:colOff>
          <xdr:row>17</xdr:row>
          <xdr:rowOff>161925</xdr:rowOff>
        </xdr:to>
        <xdr:sp macro="" textlink="">
          <xdr:nvSpPr>
            <xdr:cNvPr id="16391" name="Check Box 7" hidden="1">
              <a:extLst>
                <a:ext uri="{63B3BB69-23CF-44E3-9099-C40C66FF867C}">
                  <a14:compatExt spid="_x0000_s16391"/>
                </a:ext>
                <a:ext uri="{FF2B5EF4-FFF2-40B4-BE49-F238E27FC236}">
                  <a16:creationId xmlns:a16="http://schemas.microsoft.com/office/drawing/2014/main" id="{00000000-0008-0000-0C00-000007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hu-HU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Van hajózási szakképzésben szerzett bizonyítvány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57150</xdr:colOff>
          <xdr:row>19</xdr:row>
          <xdr:rowOff>66675</xdr:rowOff>
        </xdr:from>
        <xdr:to>
          <xdr:col>4</xdr:col>
          <xdr:colOff>476250</xdr:colOff>
          <xdr:row>20</xdr:row>
          <xdr:rowOff>85725</xdr:rowOff>
        </xdr:to>
        <xdr:sp macro="" textlink="">
          <xdr:nvSpPr>
            <xdr:cNvPr id="16392" name="Check Box 8" hidden="1">
              <a:extLst>
                <a:ext uri="{63B3BB69-23CF-44E3-9099-C40C66FF867C}">
                  <a14:compatExt spid="_x0000_s16392"/>
                </a:ext>
                <a:ext uri="{FF2B5EF4-FFF2-40B4-BE49-F238E27FC236}">
                  <a16:creationId xmlns:a16="http://schemas.microsoft.com/office/drawing/2014/main" id="{00000000-0008-0000-0C00-000008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hu-HU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Van radarhajós képesítés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57150</xdr:colOff>
          <xdr:row>10</xdr:row>
          <xdr:rowOff>152400</xdr:rowOff>
        </xdr:from>
        <xdr:to>
          <xdr:col>5</xdr:col>
          <xdr:colOff>600075</xdr:colOff>
          <xdr:row>12</xdr:row>
          <xdr:rowOff>9525</xdr:rowOff>
        </xdr:to>
        <xdr:sp macro="" textlink="">
          <xdr:nvSpPr>
            <xdr:cNvPr id="16393" name="Check Box 9" hidden="1">
              <a:extLst>
                <a:ext uri="{63B3BB69-23CF-44E3-9099-C40C66FF867C}">
                  <a14:compatExt spid="_x0000_s16393"/>
                </a:ext>
                <a:ext uri="{FF2B5EF4-FFF2-40B4-BE49-F238E27FC236}">
                  <a16:creationId xmlns:a16="http://schemas.microsoft.com/office/drawing/2014/main" id="{00000000-0008-0000-0C00-000009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hu-HU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Van hivatásos kishajó vezető A képesítés és legalább egy év személyhajóvezetői gyakorlat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57150</xdr:colOff>
          <xdr:row>6</xdr:row>
          <xdr:rowOff>66675</xdr:rowOff>
        </xdr:from>
        <xdr:to>
          <xdr:col>5</xdr:col>
          <xdr:colOff>600075</xdr:colOff>
          <xdr:row>7</xdr:row>
          <xdr:rowOff>114300</xdr:rowOff>
        </xdr:to>
        <xdr:sp macro="" textlink="">
          <xdr:nvSpPr>
            <xdr:cNvPr id="16394" name="Check Box 10" hidden="1">
              <a:extLst>
                <a:ext uri="{63B3BB69-23CF-44E3-9099-C40C66FF867C}">
                  <a14:compatExt spid="_x0000_s16394"/>
                </a:ext>
                <a:ext uri="{FF2B5EF4-FFF2-40B4-BE49-F238E27FC236}">
                  <a16:creationId xmlns:a16="http://schemas.microsoft.com/office/drawing/2014/main" id="{00000000-0008-0000-0C00-00000A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hu-HU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Van vitorlás hajó vezetésére jogosító C kategóriájú hajóvezető képesítés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57150</xdr:colOff>
          <xdr:row>20</xdr:row>
          <xdr:rowOff>85725</xdr:rowOff>
        </xdr:from>
        <xdr:to>
          <xdr:col>7</xdr:col>
          <xdr:colOff>523875</xdr:colOff>
          <xdr:row>21</xdr:row>
          <xdr:rowOff>180975</xdr:rowOff>
        </xdr:to>
        <xdr:sp macro="" textlink="">
          <xdr:nvSpPr>
            <xdr:cNvPr id="16395" name="Check Box 11" hidden="1">
              <a:extLst>
                <a:ext uri="{63B3BB69-23CF-44E3-9099-C40C66FF867C}">
                  <a14:compatExt spid="_x0000_s16395"/>
                </a:ext>
                <a:ext uri="{FF2B5EF4-FFF2-40B4-BE49-F238E27FC236}">
                  <a16:creationId xmlns:a16="http://schemas.microsoft.com/office/drawing/2014/main" id="{00000000-0008-0000-0C00-00000B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hu-HU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Rendelkezik hajózási képesítéssel és iskolarendszerű képzésben, a vizsgatárgyból azonos, vagy magasabb szinten sikeres vizsgát tett (felmentési kérelem)</a:t>
              </a:r>
            </a:p>
          </xdr:txBody>
        </xdr:sp>
        <xdr:clientData/>
      </xdr:twoCellAnchor>
    </mc:Choice>
    <mc:Fallback/>
  </mc:AlternateContent>
</xdr:wsDr>
</file>

<file path=xl/drawings/drawing1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609600</xdr:colOff>
          <xdr:row>6</xdr:row>
          <xdr:rowOff>76200</xdr:rowOff>
        </xdr:from>
        <xdr:to>
          <xdr:col>9</xdr:col>
          <xdr:colOff>276225</xdr:colOff>
          <xdr:row>7</xdr:row>
          <xdr:rowOff>133350</xdr:rowOff>
        </xdr:to>
        <xdr:sp macro="" textlink="">
          <xdr:nvSpPr>
            <xdr:cNvPr id="18443" name="Option Button 11" hidden="1">
              <a:extLst>
                <a:ext uri="{63B3BB69-23CF-44E3-9099-C40C66FF867C}">
                  <a14:compatExt spid="_x0000_s18443"/>
                </a:ext>
                <a:ext uri="{FF2B5EF4-FFF2-40B4-BE49-F238E27FC236}">
                  <a16:creationId xmlns:a16="http://schemas.microsoft.com/office/drawing/2014/main" id="{00000000-0008-0000-0D00-00000B4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hu-HU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Veszélyes áru szállítási szakértő képesítés megszerzése (alapvizsga) tartályhajóra és szárazáru szállító hajóra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609600</xdr:colOff>
          <xdr:row>8</xdr:row>
          <xdr:rowOff>0</xdr:rowOff>
        </xdr:from>
        <xdr:to>
          <xdr:col>8</xdr:col>
          <xdr:colOff>476250</xdr:colOff>
          <xdr:row>9</xdr:row>
          <xdr:rowOff>19050</xdr:rowOff>
        </xdr:to>
        <xdr:sp macro="" textlink="">
          <xdr:nvSpPr>
            <xdr:cNvPr id="18444" name="Option Button 12" hidden="1">
              <a:extLst>
                <a:ext uri="{63B3BB69-23CF-44E3-9099-C40C66FF867C}">
                  <a14:compatExt spid="_x0000_s18444"/>
                </a:ext>
                <a:ext uri="{FF2B5EF4-FFF2-40B4-BE49-F238E27FC236}">
                  <a16:creationId xmlns:a16="http://schemas.microsoft.com/office/drawing/2014/main" id="{00000000-0008-0000-0D00-00000C4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hu-HU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Veszélyes áru szállítási szakértő képesítés megszerzése (alapvizsga)tartályhajóra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609600</xdr:colOff>
          <xdr:row>9</xdr:row>
          <xdr:rowOff>95250</xdr:rowOff>
        </xdr:from>
        <xdr:to>
          <xdr:col>8</xdr:col>
          <xdr:colOff>495300</xdr:colOff>
          <xdr:row>10</xdr:row>
          <xdr:rowOff>133350</xdr:rowOff>
        </xdr:to>
        <xdr:sp macro="" textlink="">
          <xdr:nvSpPr>
            <xdr:cNvPr id="18445" name="Option Button 13" hidden="1">
              <a:extLst>
                <a:ext uri="{63B3BB69-23CF-44E3-9099-C40C66FF867C}">
                  <a14:compatExt spid="_x0000_s18445"/>
                </a:ext>
                <a:ext uri="{FF2B5EF4-FFF2-40B4-BE49-F238E27FC236}">
                  <a16:creationId xmlns:a16="http://schemas.microsoft.com/office/drawing/2014/main" id="{00000000-0008-0000-0D00-00000D4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hu-HU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Veszélyes áru szállítási szakértő képesítés megszerzése (alapvizsga)szárazáru szállító hajóra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609600</xdr:colOff>
          <xdr:row>10</xdr:row>
          <xdr:rowOff>180975</xdr:rowOff>
        </xdr:from>
        <xdr:to>
          <xdr:col>6</xdr:col>
          <xdr:colOff>38100</xdr:colOff>
          <xdr:row>12</xdr:row>
          <xdr:rowOff>47625</xdr:rowOff>
        </xdr:to>
        <xdr:sp macro="" textlink="">
          <xdr:nvSpPr>
            <xdr:cNvPr id="18446" name="Option Button 14" hidden="1">
              <a:extLst>
                <a:ext uri="{63B3BB69-23CF-44E3-9099-C40C66FF867C}">
                  <a14:compatExt spid="_x0000_s18446"/>
                </a:ext>
                <a:ext uri="{FF2B5EF4-FFF2-40B4-BE49-F238E27FC236}">
                  <a16:creationId xmlns:a16="http://schemas.microsoft.com/office/drawing/2014/main" id="{00000000-0008-0000-0D00-00000E4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hu-HU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Ismeretfelújító tartályhajóra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609600</xdr:colOff>
          <xdr:row>12</xdr:row>
          <xdr:rowOff>76200</xdr:rowOff>
        </xdr:from>
        <xdr:to>
          <xdr:col>6</xdr:col>
          <xdr:colOff>76200</xdr:colOff>
          <xdr:row>13</xdr:row>
          <xdr:rowOff>152400</xdr:rowOff>
        </xdr:to>
        <xdr:sp macro="" textlink="">
          <xdr:nvSpPr>
            <xdr:cNvPr id="18447" name="Option Button 15" hidden="1">
              <a:extLst>
                <a:ext uri="{63B3BB69-23CF-44E3-9099-C40C66FF867C}">
                  <a14:compatExt spid="_x0000_s18447"/>
                </a:ext>
                <a:ext uri="{FF2B5EF4-FFF2-40B4-BE49-F238E27FC236}">
                  <a16:creationId xmlns:a16="http://schemas.microsoft.com/office/drawing/2014/main" id="{00000000-0008-0000-0D00-00000F4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hu-HU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Ismeretfelújító szárazárú szállító hajóra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609600</xdr:colOff>
          <xdr:row>13</xdr:row>
          <xdr:rowOff>180975</xdr:rowOff>
        </xdr:from>
        <xdr:to>
          <xdr:col>8</xdr:col>
          <xdr:colOff>304800</xdr:colOff>
          <xdr:row>15</xdr:row>
          <xdr:rowOff>85725</xdr:rowOff>
        </xdr:to>
        <xdr:sp macro="" textlink="">
          <xdr:nvSpPr>
            <xdr:cNvPr id="18448" name="Option Button 16" hidden="1">
              <a:extLst>
                <a:ext uri="{63B3BB69-23CF-44E3-9099-C40C66FF867C}">
                  <a14:compatExt spid="_x0000_s18448"/>
                </a:ext>
                <a:ext uri="{FF2B5EF4-FFF2-40B4-BE49-F238E27FC236}">
                  <a16:creationId xmlns:a16="http://schemas.microsoft.com/office/drawing/2014/main" id="{00000000-0008-0000-0D00-0000104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hu-HU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Ismeretfelújító tartályhajóra és szárazárú szállító hajóra (kombinált)</a:t>
              </a:r>
            </a:p>
          </xdr:txBody>
        </xdr:sp>
        <xdr:clientData/>
      </xdr:twoCellAnchor>
    </mc:Choice>
    <mc:Fallback/>
  </mc:AlternateContent>
  <xdr:twoCellAnchor>
    <xdr:from>
      <xdr:col>0</xdr:col>
      <xdr:colOff>0</xdr:colOff>
      <xdr:row>0</xdr:row>
      <xdr:rowOff>0</xdr:rowOff>
    </xdr:from>
    <xdr:to>
      <xdr:col>2</xdr:col>
      <xdr:colOff>171450</xdr:colOff>
      <xdr:row>2</xdr:row>
      <xdr:rowOff>133351</xdr:rowOff>
    </xdr:to>
    <xdr:sp macro="" textlink="">
      <xdr:nvSpPr>
        <xdr:cNvPr id="8" name="Nyíl: balra mutató 7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D00-000008000000}"/>
            </a:ext>
          </a:extLst>
        </xdr:cNvPr>
        <xdr:cNvSpPr/>
      </xdr:nvSpPr>
      <xdr:spPr>
        <a:xfrm>
          <a:off x="0" y="0"/>
          <a:ext cx="1524000" cy="514351"/>
        </a:xfrm>
        <a:prstGeom prst="leftArrow">
          <a:avLst/>
        </a:prstGeom>
        <a:solidFill>
          <a:schemeClr val="bg2">
            <a:lumMod val="75000"/>
          </a:schemeClr>
        </a:solidFill>
        <a:ln>
          <a:solidFill>
            <a:sysClr val="windowText" lastClr="000000"/>
          </a:solidFill>
        </a:ln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hu-HU" sz="1100" b="1">
              <a:solidFill>
                <a:sysClr val="windowText" lastClr="000000"/>
              </a:solidFill>
            </a:rPr>
            <a:t>Vissza a kezdőlapra</a:t>
          </a:r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914400</xdr:colOff>
      <xdr:row>2</xdr:row>
      <xdr:rowOff>133351</xdr:rowOff>
    </xdr:to>
    <xdr:sp macro="" textlink="">
      <xdr:nvSpPr>
        <xdr:cNvPr id="3" name="Nyíl: balra mutató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SpPr/>
      </xdr:nvSpPr>
      <xdr:spPr>
        <a:xfrm>
          <a:off x="0" y="0"/>
          <a:ext cx="1524000" cy="514351"/>
        </a:xfrm>
        <a:prstGeom prst="leftArrow">
          <a:avLst/>
        </a:prstGeom>
        <a:solidFill>
          <a:schemeClr val="bg2">
            <a:lumMod val="75000"/>
          </a:schemeClr>
        </a:solidFill>
        <a:ln>
          <a:solidFill>
            <a:sysClr val="windowText" lastClr="000000"/>
          </a:solidFill>
        </a:ln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hu-HU" sz="1100" b="1">
              <a:solidFill>
                <a:sysClr val="windowText" lastClr="000000"/>
              </a:solidFill>
            </a:rPr>
            <a:t>Vissza a kezdőlapra</a:t>
          </a:r>
        </a:p>
      </xdr:txBody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609600</xdr:colOff>
          <xdr:row>5</xdr:row>
          <xdr:rowOff>180975</xdr:rowOff>
        </xdr:from>
        <xdr:to>
          <xdr:col>8</xdr:col>
          <xdr:colOff>285750</xdr:colOff>
          <xdr:row>7</xdr:row>
          <xdr:rowOff>9525</xdr:rowOff>
        </xdr:to>
        <xdr:sp macro="" textlink="">
          <xdr:nvSpPr>
            <xdr:cNvPr id="21506" name="Check Box 2" hidden="1">
              <a:extLst>
                <a:ext uri="{63B3BB69-23CF-44E3-9099-C40C66FF867C}">
                  <a14:compatExt spid="_x0000_s21506"/>
                </a:ext>
                <a:ext uri="{FF2B5EF4-FFF2-40B4-BE49-F238E27FC236}">
                  <a16:creationId xmlns:a16="http://schemas.microsoft.com/office/drawing/2014/main" id="{00000000-0008-0000-0F00-0000025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hu-HU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Nagyhajóval folytatott belföldi hajózási tevékenység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152400</xdr:colOff>
          <xdr:row>7</xdr:row>
          <xdr:rowOff>47625</xdr:rowOff>
        </xdr:from>
        <xdr:to>
          <xdr:col>5</xdr:col>
          <xdr:colOff>209550</xdr:colOff>
          <xdr:row>8</xdr:row>
          <xdr:rowOff>85725</xdr:rowOff>
        </xdr:to>
        <xdr:sp macro="" textlink="">
          <xdr:nvSpPr>
            <xdr:cNvPr id="21509" name="Check Box 5" hidden="1">
              <a:extLst>
                <a:ext uri="{63B3BB69-23CF-44E3-9099-C40C66FF867C}">
                  <a14:compatExt spid="_x0000_s21509"/>
                </a:ext>
                <a:ext uri="{FF2B5EF4-FFF2-40B4-BE49-F238E27FC236}">
                  <a16:creationId xmlns:a16="http://schemas.microsoft.com/office/drawing/2014/main" id="{00000000-0008-0000-0F00-0000055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hu-HU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Belvízi nemzetközi kiegészítés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152400</xdr:colOff>
          <xdr:row>8</xdr:row>
          <xdr:rowOff>123825</xdr:rowOff>
        </xdr:from>
        <xdr:to>
          <xdr:col>5</xdr:col>
          <xdr:colOff>209550</xdr:colOff>
          <xdr:row>9</xdr:row>
          <xdr:rowOff>152400</xdr:rowOff>
        </xdr:to>
        <xdr:sp macro="" textlink="">
          <xdr:nvSpPr>
            <xdr:cNvPr id="21510" name="Check Box 6" hidden="1">
              <a:extLst>
                <a:ext uri="{63B3BB69-23CF-44E3-9099-C40C66FF867C}">
                  <a14:compatExt spid="_x0000_s21510"/>
                </a:ext>
                <a:ext uri="{FF2B5EF4-FFF2-40B4-BE49-F238E27FC236}">
                  <a16:creationId xmlns:a16="http://schemas.microsoft.com/office/drawing/2014/main" id="{00000000-0008-0000-0F00-0000065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hu-HU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Tengeri kiegészítés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609600</xdr:colOff>
          <xdr:row>10</xdr:row>
          <xdr:rowOff>28575</xdr:rowOff>
        </xdr:from>
        <xdr:to>
          <xdr:col>7</xdr:col>
          <xdr:colOff>400050</xdr:colOff>
          <xdr:row>11</xdr:row>
          <xdr:rowOff>66675</xdr:rowOff>
        </xdr:to>
        <xdr:sp macro="" textlink="">
          <xdr:nvSpPr>
            <xdr:cNvPr id="21511" name="Check Box 7" hidden="1">
              <a:extLst>
                <a:ext uri="{63B3BB69-23CF-44E3-9099-C40C66FF867C}">
                  <a14:compatExt spid="_x0000_s21511"/>
                </a:ext>
                <a:ext uri="{FF2B5EF4-FFF2-40B4-BE49-F238E27FC236}">
                  <a16:creationId xmlns:a16="http://schemas.microsoft.com/office/drawing/2014/main" id="{00000000-0008-0000-0F00-0000075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hu-HU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Kishajóval folytatott belföldi hajózási tevékenységre szóló képesítés megszerzése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609600</xdr:colOff>
          <xdr:row>11</xdr:row>
          <xdr:rowOff>123825</xdr:rowOff>
        </xdr:from>
        <xdr:to>
          <xdr:col>7</xdr:col>
          <xdr:colOff>400050</xdr:colOff>
          <xdr:row>12</xdr:row>
          <xdr:rowOff>161925</xdr:rowOff>
        </xdr:to>
        <xdr:sp macro="" textlink="">
          <xdr:nvSpPr>
            <xdr:cNvPr id="21512" name="Check Box 8" hidden="1">
              <a:extLst>
                <a:ext uri="{63B3BB69-23CF-44E3-9099-C40C66FF867C}">
                  <a14:compatExt spid="_x0000_s21512"/>
                </a:ext>
                <a:ext uri="{FF2B5EF4-FFF2-40B4-BE49-F238E27FC236}">
                  <a16:creationId xmlns:a16="http://schemas.microsoft.com/office/drawing/2014/main" id="{00000000-0008-0000-0F00-0000085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hu-HU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Komppal folytatott belföldi hajózási tevékenységre szóló képesítés megszerzése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609600</xdr:colOff>
          <xdr:row>13</xdr:row>
          <xdr:rowOff>0</xdr:rowOff>
        </xdr:from>
        <xdr:to>
          <xdr:col>9</xdr:col>
          <xdr:colOff>247650</xdr:colOff>
          <xdr:row>14</xdr:row>
          <xdr:rowOff>66675</xdr:rowOff>
        </xdr:to>
        <xdr:sp macro="" textlink="">
          <xdr:nvSpPr>
            <xdr:cNvPr id="21513" name="Check Box 9" hidden="1">
              <a:extLst>
                <a:ext uri="{63B3BB69-23CF-44E3-9099-C40C66FF867C}">
                  <a14:compatExt spid="_x0000_s21513"/>
                </a:ext>
                <a:ext uri="{FF2B5EF4-FFF2-40B4-BE49-F238E27FC236}">
                  <a16:creationId xmlns:a16="http://schemas.microsoft.com/office/drawing/2014/main" id="{00000000-0008-0000-0F00-0000095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hu-HU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Úszómunkagéppel folytatott belföldi hajózási tevékenységre szóló képesítés megszerzése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14</xdr:row>
          <xdr:rowOff>104775</xdr:rowOff>
        </xdr:from>
        <xdr:to>
          <xdr:col>9</xdr:col>
          <xdr:colOff>447675</xdr:colOff>
          <xdr:row>15</xdr:row>
          <xdr:rowOff>142875</xdr:rowOff>
        </xdr:to>
        <xdr:sp macro="" textlink="">
          <xdr:nvSpPr>
            <xdr:cNvPr id="21514" name="Check Box 10" hidden="1">
              <a:extLst>
                <a:ext uri="{63B3BB69-23CF-44E3-9099-C40C66FF867C}">
                  <a14:compatExt spid="_x0000_s21514"/>
                </a:ext>
                <a:ext uri="{FF2B5EF4-FFF2-40B4-BE49-F238E27FC236}">
                  <a16:creationId xmlns:a16="http://schemas.microsoft.com/office/drawing/2014/main" id="{00000000-0008-0000-0F00-00000A5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hu-HU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Úszólétesítménnyel  és/vagy úszólétesítményen folytatott belföldi hajózási tevékenységre szóló képesítés megszerzése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609600</xdr:colOff>
          <xdr:row>16</xdr:row>
          <xdr:rowOff>9525</xdr:rowOff>
        </xdr:from>
        <xdr:to>
          <xdr:col>9</xdr:col>
          <xdr:colOff>552450</xdr:colOff>
          <xdr:row>17</xdr:row>
          <xdr:rowOff>38100</xdr:rowOff>
        </xdr:to>
        <xdr:sp macro="" textlink="">
          <xdr:nvSpPr>
            <xdr:cNvPr id="21515" name="Check Box 11" hidden="1">
              <a:extLst>
                <a:ext uri="{63B3BB69-23CF-44E3-9099-C40C66FF867C}">
                  <a14:compatExt spid="_x0000_s21515"/>
                </a:ext>
                <a:ext uri="{FF2B5EF4-FFF2-40B4-BE49-F238E27FC236}">
                  <a16:creationId xmlns:a16="http://schemas.microsoft.com/office/drawing/2014/main" id="{00000000-0008-0000-0F00-00000B5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hu-HU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Meglévő, kishajóra vagy kompra vagy egyéb úszólétesítményre szóló képesítés kiegészítése úszómunkagépre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609600</xdr:colOff>
          <xdr:row>17</xdr:row>
          <xdr:rowOff>76200</xdr:rowOff>
        </xdr:from>
        <xdr:to>
          <xdr:col>9</xdr:col>
          <xdr:colOff>571500</xdr:colOff>
          <xdr:row>18</xdr:row>
          <xdr:rowOff>142875</xdr:rowOff>
        </xdr:to>
        <xdr:sp macro="" textlink="">
          <xdr:nvSpPr>
            <xdr:cNvPr id="21517" name="Check Box 13" hidden="1">
              <a:extLst>
                <a:ext uri="{63B3BB69-23CF-44E3-9099-C40C66FF867C}">
                  <a14:compatExt spid="_x0000_s21517"/>
                </a:ext>
                <a:ext uri="{FF2B5EF4-FFF2-40B4-BE49-F238E27FC236}">
                  <a16:creationId xmlns:a16="http://schemas.microsoft.com/office/drawing/2014/main" id="{00000000-0008-0000-0F00-00000D5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hu-HU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Meglévő, kishajóra vagy úszómunkagép vagy egyéb úszólétesítményre szóló képesítés kiegészítése kompra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18</xdr:row>
          <xdr:rowOff>133350</xdr:rowOff>
        </xdr:from>
        <xdr:to>
          <xdr:col>9</xdr:col>
          <xdr:colOff>561975</xdr:colOff>
          <xdr:row>19</xdr:row>
          <xdr:rowOff>180975</xdr:rowOff>
        </xdr:to>
        <xdr:sp macro="" textlink="">
          <xdr:nvSpPr>
            <xdr:cNvPr id="21518" name="Check Box 14" hidden="1">
              <a:extLst>
                <a:ext uri="{63B3BB69-23CF-44E3-9099-C40C66FF867C}">
                  <a14:compatExt spid="_x0000_s21518"/>
                </a:ext>
                <a:ext uri="{FF2B5EF4-FFF2-40B4-BE49-F238E27FC236}">
                  <a16:creationId xmlns:a16="http://schemas.microsoft.com/office/drawing/2014/main" id="{00000000-0008-0000-0F00-00000E5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hu-HU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Meglévő kompra vagy úszómunkagépre vagy egyéb úszólétesítményre szóló képesítés kiegészítése kishajóra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28575</xdr:colOff>
          <xdr:row>4</xdr:row>
          <xdr:rowOff>85725</xdr:rowOff>
        </xdr:from>
        <xdr:to>
          <xdr:col>16</xdr:col>
          <xdr:colOff>514350</xdr:colOff>
          <xdr:row>5</xdr:row>
          <xdr:rowOff>142875</xdr:rowOff>
        </xdr:to>
        <xdr:sp macro="" textlink="">
          <xdr:nvSpPr>
            <xdr:cNvPr id="21520" name="Check Box 16" hidden="1">
              <a:extLst>
                <a:ext uri="{63B3BB69-23CF-44E3-9099-C40C66FF867C}">
                  <a14:compatExt spid="_x0000_s21520"/>
                </a:ext>
                <a:ext uri="{FF2B5EF4-FFF2-40B4-BE49-F238E27FC236}">
                  <a16:creationId xmlns:a16="http://schemas.microsoft.com/office/drawing/2014/main" id="{00000000-0008-0000-0F00-0000105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hu-HU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belvízi nagyhajó vezetésére jogosító képessel rendelkezik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28575</xdr:colOff>
          <xdr:row>5</xdr:row>
          <xdr:rowOff>180975</xdr:rowOff>
        </xdr:from>
        <xdr:to>
          <xdr:col>16</xdr:col>
          <xdr:colOff>371475</xdr:colOff>
          <xdr:row>7</xdr:row>
          <xdr:rowOff>28575</xdr:rowOff>
        </xdr:to>
        <xdr:sp macro="" textlink="">
          <xdr:nvSpPr>
            <xdr:cNvPr id="21521" name="Check Box 17" hidden="1">
              <a:extLst>
                <a:ext uri="{63B3BB69-23CF-44E3-9099-C40C66FF867C}">
                  <a14:compatExt spid="_x0000_s21521"/>
                </a:ext>
                <a:ext uri="{FF2B5EF4-FFF2-40B4-BE49-F238E27FC236}">
                  <a16:creationId xmlns:a16="http://schemas.microsoft.com/office/drawing/2014/main" id="{00000000-0008-0000-0F00-0000115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hu-HU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tengerész fedélzeti tiszti, vagy magasabb képessel rendelkezik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28575</xdr:colOff>
          <xdr:row>7</xdr:row>
          <xdr:rowOff>76200</xdr:rowOff>
        </xdr:from>
        <xdr:to>
          <xdr:col>16</xdr:col>
          <xdr:colOff>9525</xdr:colOff>
          <xdr:row>8</xdr:row>
          <xdr:rowOff>104775</xdr:rowOff>
        </xdr:to>
        <xdr:sp macro="" textlink="">
          <xdr:nvSpPr>
            <xdr:cNvPr id="21522" name="Check Box 18" hidden="1">
              <a:extLst>
                <a:ext uri="{63B3BB69-23CF-44E3-9099-C40C66FF867C}">
                  <a14:compatExt spid="_x0000_s21522"/>
                </a:ext>
                <a:ext uri="{FF2B5EF4-FFF2-40B4-BE49-F238E27FC236}">
                  <a16:creationId xmlns:a16="http://schemas.microsoft.com/office/drawing/2014/main" id="{00000000-0008-0000-0F00-0000125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hu-HU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hajózási szakirányú egyetemi, főiskolai végzettsége van</a:t>
              </a:r>
            </a:p>
          </xdr:txBody>
        </xdr:sp>
        <xdr:clientData/>
      </xdr:twoCellAnchor>
    </mc:Choice>
    <mc:Fallback/>
  </mc:AlternateContent>
  <xdr:twoCellAnchor>
    <xdr:from>
      <xdr:col>0</xdr:col>
      <xdr:colOff>0</xdr:colOff>
      <xdr:row>0</xdr:row>
      <xdr:rowOff>0</xdr:rowOff>
    </xdr:from>
    <xdr:to>
      <xdr:col>2</xdr:col>
      <xdr:colOff>219075</xdr:colOff>
      <xdr:row>2</xdr:row>
      <xdr:rowOff>133351</xdr:rowOff>
    </xdr:to>
    <xdr:sp macro="" textlink="">
      <xdr:nvSpPr>
        <xdr:cNvPr id="15" name="Nyíl: balra mutató 1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F00-00000F000000}"/>
            </a:ext>
          </a:extLst>
        </xdr:cNvPr>
        <xdr:cNvSpPr/>
      </xdr:nvSpPr>
      <xdr:spPr>
        <a:xfrm>
          <a:off x="0" y="0"/>
          <a:ext cx="1524000" cy="514351"/>
        </a:xfrm>
        <a:prstGeom prst="leftArrow">
          <a:avLst/>
        </a:prstGeom>
        <a:solidFill>
          <a:schemeClr val="bg2">
            <a:lumMod val="75000"/>
          </a:schemeClr>
        </a:solidFill>
        <a:ln>
          <a:solidFill>
            <a:sysClr val="windowText" lastClr="000000"/>
          </a:solidFill>
        </a:ln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hu-HU" sz="1100" b="1">
              <a:solidFill>
                <a:sysClr val="windowText" lastClr="000000"/>
              </a:solidFill>
            </a:rPr>
            <a:t>Vissza a kezdőlapra</a:t>
          </a:r>
        </a:p>
      </xdr:txBody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6</xdr:row>
          <xdr:rowOff>85725</xdr:rowOff>
        </xdr:from>
        <xdr:to>
          <xdr:col>6</xdr:col>
          <xdr:colOff>257175</xdr:colOff>
          <xdr:row>7</xdr:row>
          <xdr:rowOff>114300</xdr:rowOff>
        </xdr:to>
        <xdr:sp macro="" textlink="">
          <xdr:nvSpPr>
            <xdr:cNvPr id="24577" name="Check Box 1" hidden="1">
              <a:extLst>
                <a:ext uri="{63B3BB69-23CF-44E3-9099-C40C66FF867C}">
                  <a14:compatExt spid="_x0000_s24577"/>
                </a:ext>
                <a:ext uri="{FF2B5EF4-FFF2-40B4-BE49-F238E27FC236}">
                  <a16:creationId xmlns:a16="http://schemas.microsoft.com/office/drawing/2014/main" id="{00000000-0008-0000-1000-0000016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hu-HU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Hajózási vagy gépészeti szakképzésben szerzett képesítő bizonyítvány, vagy szervezett gépkezelői képzés elvégzésének igazolása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7</xdr:row>
          <xdr:rowOff>161925</xdr:rowOff>
        </xdr:from>
        <xdr:to>
          <xdr:col>8</xdr:col>
          <xdr:colOff>542925</xdr:colOff>
          <xdr:row>9</xdr:row>
          <xdr:rowOff>161925</xdr:rowOff>
        </xdr:to>
        <xdr:sp macro="" textlink="">
          <xdr:nvSpPr>
            <xdr:cNvPr id="24578" name="Check Box 2" hidden="1">
              <a:extLst>
                <a:ext uri="{63B3BB69-23CF-44E3-9099-C40C66FF867C}">
                  <a14:compatExt spid="_x0000_s24578"/>
                </a:ext>
                <a:ext uri="{FF2B5EF4-FFF2-40B4-BE49-F238E27FC236}">
                  <a16:creationId xmlns:a16="http://schemas.microsoft.com/office/drawing/2014/main" id="{00000000-0008-0000-1000-0000026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hu-HU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Villamossági szakképzésben szerzett bizonyítvány valamint felsőoktatásban szerzett képesítő bizonyítvány, oklevél (leckekönyv, vagy tanulmányi értesítő) bemutatása mellett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9</xdr:row>
          <xdr:rowOff>142875</xdr:rowOff>
        </xdr:from>
        <xdr:to>
          <xdr:col>7</xdr:col>
          <xdr:colOff>571500</xdr:colOff>
          <xdr:row>11</xdr:row>
          <xdr:rowOff>47625</xdr:rowOff>
        </xdr:to>
        <xdr:sp macro="" textlink="">
          <xdr:nvSpPr>
            <xdr:cNvPr id="24579" name="Check Box 3" hidden="1">
              <a:extLst>
                <a:ext uri="{63B3BB69-23CF-44E3-9099-C40C66FF867C}">
                  <a14:compatExt spid="_x0000_s24579"/>
                </a:ext>
                <a:ext uri="{FF2B5EF4-FFF2-40B4-BE49-F238E27FC236}">
                  <a16:creationId xmlns:a16="http://schemas.microsoft.com/office/drawing/2014/main" id="{00000000-0008-0000-1000-0000036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hu-HU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Rendelkezik hajózási képesítéssel és iskolarendszerű képzésben, a vizsgatárgyból azonos, vagy magasabb szinten sikeres vizsgát tett (felmentési kérelem)</a:t>
              </a:r>
            </a:p>
          </xdr:txBody>
        </xdr:sp>
        <xdr:clientData/>
      </xdr:twoCellAnchor>
    </mc:Choice>
    <mc:Fallback/>
  </mc:AlternateContent>
  <xdr:twoCellAnchor>
    <xdr:from>
      <xdr:col>0</xdr:col>
      <xdr:colOff>0</xdr:colOff>
      <xdr:row>0</xdr:row>
      <xdr:rowOff>0</xdr:rowOff>
    </xdr:from>
    <xdr:to>
      <xdr:col>1</xdr:col>
      <xdr:colOff>914400</xdr:colOff>
      <xdr:row>2</xdr:row>
      <xdr:rowOff>133351</xdr:rowOff>
    </xdr:to>
    <xdr:sp macro="" textlink="">
      <xdr:nvSpPr>
        <xdr:cNvPr id="5" name="Nyíl: balra mutató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000-000005000000}"/>
            </a:ext>
          </a:extLst>
        </xdr:cNvPr>
        <xdr:cNvSpPr/>
      </xdr:nvSpPr>
      <xdr:spPr>
        <a:xfrm>
          <a:off x="0" y="0"/>
          <a:ext cx="1524000" cy="514351"/>
        </a:xfrm>
        <a:prstGeom prst="leftArrow">
          <a:avLst/>
        </a:prstGeom>
        <a:solidFill>
          <a:schemeClr val="bg2">
            <a:lumMod val="75000"/>
          </a:schemeClr>
        </a:solidFill>
        <a:ln>
          <a:solidFill>
            <a:sysClr val="windowText" lastClr="000000"/>
          </a:solidFill>
        </a:ln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hu-HU" sz="1100" b="1">
              <a:solidFill>
                <a:sysClr val="windowText" lastClr="000000"/>
              </a:solidFill>
            </a:rPr>
            <a:t>Vissza a kezdőlapra</a:t>
          </a:r>
        </a:p>
      </xdr:txBody>
    </xdr: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28575</xdr:colOff>
          <xdr:row>6</xdr:row>
          <xdr:rowOff>76200</xdr:rowOff>
        </xdr:from>
        <xdr:to>
          <xdr:col>6</xdr:col>
          <xdr:colOff>238125</xdr:colOff>
          <xdr:row>7</xdr:row>
          <xdr:rowOff>104775</xdr:rowOff>
        </xdr:to>
        <xdr:sp macro="" textlink="">
          <xdr:nvSpPr>
            <xdr:cNvPr id="25601" name="Check Box 1" hidden="1">
              <a:extLst>
                <a:ext uri="{63B3BB69-23CF-44E3-9099-C40C66FF867C}">
                  <a14:compatExt spid="_x0000_s25601"/>
                </a:ext>
                <a:ext uri="{FF2B5EF4-FFF2-40B4-BE49-F238E27FC236}">
                  <a16:creationId xmlns:a16="http://schemas.microsoft.com/office/drawing/2014/main" id="{00000000-0008-0000-1100-0000016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hu-HU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hajózási vagy gépészeti szakképzésben szerzett képesítő bizonyítvány, vagy szervezett géptiszti képzés elvégzésének igazolása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28575</xdr:colOff>
          <xdr:row>7</xdr:row>
          <xdr:rowOff>180975</xdr:rowOff>
        </xdr:from>
        <xdr:to>
          <xdr:col>6</xdr:col>
          <xdr:colOff>238125</xdr:colOff>
          <xdr:row>9</xdr:row>
          <xdr:rowOff>19050</xdr:rowOff>
        </xdr:to>
        <xdr:sp macro="" textlink="">
          <xdr:nvSpPr>
            <xdr:cNvPr id="25602" name="Check Box 2" hidden="1">
              <a:extLst>
                <a:ext uri="{63B3BB69-23CF-44E3-9099-C40C66FF867C}">
                  <a14:compatExt spid="_x0000_s25602"/>
                </a:ext>
                <a:ext uri="{FF2B5EF4-FFF2-40B4-BE49-F238E27FC236}">
                  <a16:creationId xmlns:a16="http://schemas.microsoft.com/office/drawing/2014/main" id="{00000000-0008-0000-1100-0000026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hu-HU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Villamossági szakképzésben, valamint felsőoktatásban szerzett képesítő bizonyítvány, oklevél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28575</xdr:colOff>
          <xdr:row>9</xdr:row>
          <xdr:rowOff>66675</xdr:rowOff>
        </xdr:from>
        <xdr:to>
          <xdr:col>6</xdr:col>
          <xdr:colOff>238125</xdr:colOff>
          <xdr:row>10</xdr:row>
          <xdr:rowOff>95250</xdr:rowOff>
        </xdr:to>
        <xdr:sp macro="" textlink="">
          <xdr:nvSpPr>
            <xdr:cNvPr id="25603" name="Check Box 3" hidden="1">
              <a:extLst>
                <a:ext uri="{63B3BB69-23CF-44E3-9099-C40C66FF867C}">
                  <a14:compatExt spid="_x0000_s25603"/>
                </a:ext>
                <a:ext uri="{FF2B5EF4-FFF2-40B4-BE49-F238E27FC236}">
                  <a16:creationId xmlns:a16="http://schemas.microsoft.com/office/drawing/2014/main" id="{00000000-0008-0000-1100-0000036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hu-HU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Tengerész géptiszti képesítés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28575</xdr:colOff>
          <xdr:row>10</xdr:row>
          <xdr:rowOff>104775</xdr:rowOff>
        </xdr:from>
        <xdr:to>
          <xdr:col>8</xdr:col>
          <xdr:colOff>495300</xdr:colOff>
          <xdr:row>12</xdr:row>
          <xdr:rowOff>9525</xdr:rowOff>
        </xdr:to>
        <xdr:sp macro="" textlink="">
          <xdr:nvSpPr>
            <xdr:cNvPr id="25604" name="Check Box 4" hidden="1">
              <a:extLst>
                <a:ext uri="{63B3BB69-23CF-44E3-9099-C40C66FF867C}">
                  <a14:compatExt spid="_x0000_s25604"/>
                </a:ext>
                <a:ext uri="{FF2B5EF4-FFF2-40B4-BE49-F238E27FC236}">
                  <a16:creationId xmlns:a16="http://schemas.microsoft.com/office/drawing/2014/main" id="{00000000-0008-0000-1100-0000046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hu-HU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Rendelkezik hajózási képesítéssel és iskolarendszerű képzésben, a vizsgatárgyból azonos, vagy magasabb szinten sikeres vizsgát tett (felmentési kérelem)</a:t>
              </a:r>
            </a:p>
          </xdr:txBody>
        </xdr:sp>
        <xdr:clientData/>
      </xdr:twoCellAnchor>
    </mc:Choice>
    <mc:Fallback/>
  </mc:AlternateContent>
  <xdr:twoCellAnchor>
    <xdr:from>
      <xdr:col>0</xdr:col>
      <xdr:colOff>0</xdr:colOff>
      <xdr:row>0</xdr:row>
      <xdr:rowOff>0</xdr:rowOff>
    </xdr:from>
    <xdr:to>
      <xdr:col>1</xdr:col>
      <xdr:colOff>914400</xdr:colOff>
      <xdr:row>2</xdr:row>
      <xdr:rowOff>133351</xdr:rowOff>
    </xdr:to>
    <xdr:sp macro="" textlink="">
      <xdr:nvSpPr>
        <xdr:cNvPr id="6" name="Nyíl: balra mutató 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100-000006000000}"/>
            </a:ext>
          </a:extLst>
        </xdr:cNvPr>
        <xdr:cNvSpPr/>
      </xdr:nvSpPr>
      <xdr:spPr>
        <a:xfrm>
          <a:off x="0" y="0"/>
          <a:ext cx="1524000" cy="514351"/>
        </a:xfrm>
        <a:prstGeom prst="leftArrow">
          <a:avLst/>
        </a:prstGeom>
        <a:solidFill>
          <a:schemeClr val="bg2">
            <a:lumMod val="75000"/>
          </a:schemeClr>
        </a:solidFill>
        <a:ln>
          <a:solidFill>
            <a:sysClr val="windowText" lastClr="000000"/>
          </a:solidFill>
        </a:ln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hu-HU" sz="1100" b="1">
              <a:solidFill>
                <a:sysClr val="windowText" lastClr="000000"/>
              </a:solidFill>
            </a:rPr>
            <a:t>Vissza a kezdőlapra</a:t>
          </a:r>
        </a:p>
      </xdr:txBody>
    </xdr: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6</xdr:row>
          <xdr:rowOff>95250</xdr:rowOff>
        </xdr:from>
        <xdr:to>
          <xdr:col>10</xdr:col>
          <xdr:colOff>476250</xdr:colOff>
          <xdr:row>7</xdr:row>
          <xdr:rowOff>104775</xdr:rowOff>
        </xdr:to>
        <xdr:sp macro="" textlink="">
          <xdr:nvSpPr>
            <xdr:cNvPr id="26625" name="Check Box 1" hidden="1">
              <a:extLst>
                <a:ext uri="{63B3BB69-23CF-44E3-9099-C40C66FF867C}">
                  <a14:compatExt spid="_x0000_s26625"/>
                </a:ext>
                <a:ext uri="{FF2B5EF4-FFF2-40B4-BE49-F238E27FC236}">
                  <a16:creationId xmlns:a16="http://schemas.microsoft.com/office/drawing/2014/main" id="{00000000-0008-0000-1200-0000016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hu-HU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hajózási vagy gépészeti szakképzésben szerzett képesítő bizonyítvány, vagy szervezett gépkezelői képzés elvégzésének igazolása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9</xdr:row>
          <xdr:rowOff>95250</xdr:rowOff>
        </xdr:from>
        <xdr:to>
          <xdr:col>9</xdr:col>
          <xdr:colOff>590550</xdr:colOff>
          <xdr:row>10</xdr:row>
          <xdr:rowOff>123825</xdr:rowOff>
        </xdr:to>
        <xdr:sp macro="" textlink="">
          <xdr:nvSpPr>
            <xdr:cNvPr id="26626" name="Check Box 2" hidden="1">
              <a:extLst>
                <a:ext uri="{63B3BB69-23CF-44E3-9099-C40C66FF867C}">
                  <a14:compatExt spid="_x0000_s26626"/>
                </a:ext>
                <a:ext uri="{FF2B5EF4-FFF2-40B4-BE49-F238E27FC236}">
                  <a16:creationId xmlns:a16="http://schemas.microsoft.com/office/drawing/2014/main" id="{00000000-0008-0000-1200-0000026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hu-HU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Érvényes tengerész géptiszti vagy belvízi géptiszti képesítés vagy 2022. január 18. előtt kiadott belvízi gépkezelői képesítés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8</xdr:row>
          <xdr:rowOff>9525</xdr:rowOff>
        </xdr:from>
        <xdr:to>
          <xdr:col>9</xdr:col>
          <xdr:colOff>590550</xdr:colOff>
          <xdr:row>9</xdr:row>
          <xdr:rowOff>38100</xdr:rowOff>
        </xdr:to>
        <xdr:sp macro="" textlink="">
          <xdr:nvSpPr>
            <xdr:cNvPr id="26627" name="Check Box 3" hidden="1">
              <a:extLst>
                <a:ext uri="{63B3BB69-23CF-44E3-9099-C40C66FF867C}">
                  <a14:compatExt spid="_x0000_s26627"/>
                </a:ext>
                <a:ext uri="{FF2B5EF4-FFF2-40B4-BE49-F238E27FC236}">
                  <a16:creationId xmlns:a16="http://schemas.microsoft.com/office/drawing/2014/main" id="{00000000-0008-0000-1200-0000036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hu-HU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villamossági szakképzésben, valamint felsőoktatásban szerzett képesítő bizonyítvány, oklevél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11</xdr:row>
          <xdr:rowOff>0</xdr:rowOff>
        </xdr:from>
        <xdr:to>
          <xdr:col>9</xdr:col>
          <xdr:colOff>590550</xdr:colOff>
          <xdr:row>12</xdr:row>
          <xdr:rowOff>28575</xdr:rowOff>
        </xdr:to>
        <xdr:sp macro="" textlink="">
          <xdr:nvSpPr>
            <xdr:cNvPr id="26628" name="Check Box 4" hidden="1">
              <a:extLst>
                <a:ext uri="{63B3BB69-23CF-44E3-9099-C40C66FF867C}">
                  <a14:compatExt spid="_x0000_s26628"/>
                </a:ext>
                <a:ext uri="{FF2B5EF4-FFF2-40B4-BE49-F238E27FC236}">
                  <a16:creationId xmlns:a16="http://schemas.microsoft.com/office/drawing/2014/main" id="{00000000-0008-0000-1200-0000046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hu-HU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2022. január 17. után kiadott belvízi gépkezelői képesítés</a:t>
              </a:r>
            </a:p>
          </xdr:txBody>
        </xdr:sp>
        <xdr:clientData/>
      </xdr:twoCellAnchor>
    </mc:Choice>
    <mc:Fallback/>
  </mc:AlternateContent>
  <xdr:twoCellAnchor>
    <xdr:from>
      <xdr:col>0</xdr:col>
      <xdr:colOff>0</xdr:colOff>
      <xdr:row>0</xdr:row>
      <xdr:rowOff>0</xdr:rowOff>
    </xdr:from>
    <xdr:to>
      <xdr:col>2</xdr:col>
      <xdr:colOff>228600</xdr:colOff>
      <xdr:row>2</xdr:row>
      <xdr:rowOff>133351</xdr:rowOff>
    </xdr:to>
    <xdr:sp macro="" textlink="">
      <xdr:nvSpPr>
        <xdr:cNvPr id="6" name="Nyíl: balra mutató 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200-000006000000}"/>
            </a:ext>
          </a:extLst>
        </xdr:cNvPr>
        <xdr:cNvSpPr/>
      </xdr:nvSpPr>
      <xdr:spPr>
        <a:xfrm>
          <a:off x="0" y="0"/>
          <a:ext cx="1524000" cy="514351"/>
        </a:xfrm>
        <a:prstGeom prst="leftArrow">
          <a:avLst/>
        </a:prstGeom>
        <a:solidFill>
          <a:schemeClr val="bg2">
            <a:lumMod val="75000"/>
          </a:schemeClr>
        </a:solidFill>
        <a:ln>
          <a:solidFill>
            <a:sysClr val="windowText" lastClr="000000"/>
          </a:solidFill>
        </a:ln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hu-HU" sz="1100" b="1">
              <a:solidFill>
                <a:sysClr val="windowText" lastClr="000000"/>
              </a:solidFill>
            </a:rPr>
            <a:t>Vissza a kezdőlapra</a:t>
          </a:r>
        </a:p>
      </xdr:txBody>
    </xdr: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304800</xdr:colOff>
      <xdr:row>2</xdr:row>
      <xdr:rowOff>133351</xdr:rowOff>
    </xdr:to>
    <xdr:sp macro="" textlink="">
      <xdr:nvSpPr>
        <xdr:cNvPr id="2" name="Nyíl: balra mutató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SpPr/>
      </xdr:nvSpPr>
      <xdr:spPr>
        <a:xfrm>
          <a:off x="0" y="0"/>
          <a:ext cx="1524000" cy="514351"/>
        </a:xfrm>
        <a:prstGeom prst="leftArrow">
          <a:avLst/>
        </a:prstGeom>
        <a:solidFill>
          <a:schemeClr val="bg2">
            <a:lumMod val="75000"/>
          </a:schemeClr>
        </a:solidFill>
        <a:ln>
          <a:solidFill>
            <a:sysClr val="windowText" lastClr="000000"/>
          </a:solidFill>
        </a:ln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hu-HU" sz="1100" b="1">
              <a:solidFill>
                <a:sysClr val="windowText" lastClr="000000"/>
              </a:solidFill>
            </a:rPr>
            <a:t>Vissza a kezdőlapra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95250</xdr:colOff>
          <xdr:row>8</xdr:row>
          <xdr:rowOff>95250</xdr:rowOff>
        </xdr:from>
        <xdr:to>
          <xdr:col>3</xdr:col>
          <xdr:colOff>409575</xdr:colOff>
          <xdr:row>9</xdr:row>
          <xdr:rowOff>142875</xdr:rowOff>
        </xdr:to>
        <xdr:sp macro="" textlink="">
          <xdr:nvSpPr>
            <xdr:cNvPr id="3073" name="Check Box 1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2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hu-HU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Betöltött 18. életév</a:t>
              </a:r>
            </a:p>
          </xdr:txBody>
        </xdr:sp>
        <xdr:clientData/>
      </xdr:twoCellAnchor>
    </mc:Choice>
    <mc:Fallback/>
  </mc:AlternateContent>
  <xdr:twoCellAnchor>
    <xdr:from>
      <xdr:col>0</xdr:col>
      <xdr:colOff>0</xdr:colOff>
      <xdr:row>0</xdr:row>
      <xdr:rowOff>0</xdr:rowOff>
    </xdr:from>
    <xdr:to>
      <xdr:col>2</xdr:col>
      <xdr:colOff>304800</xdr:colOff>
      <xdr:row>2</xdr:row>
      <xdr:rowOff>133351</xdr:rowOff>
    </xdr:to>
    <xdr:sp macro="" textlink="">
      <xdr:nvSpPr>
        <xdr:cNvPr id="3" name="Nyíl: balra mutató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>
        <a:xfrm>
          <a:off x="0" y="0"/>
          <a:ext cx="1524000" cy="514351"/>
        </a:xfrm>
        <a:prstGeom prst="leftArrow">
          <a:avLst/>
        </a:prstGeom>
        <a:solidFill>
          <a:schemeClr val="bg2">
            <a:lumMod val="75000"/>
          </a:schemeClr>
        </a:solidFill>
        <a:ln>
          <a:solidFill>
            <a:sysClr val="windowText" lastClr="000000"/>
          </a:solidFill>
        </a:ln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hu-HU" sz="1100" b="1">
              <a:solidFill>
                <a:sysClr val="windowText" lastClr="000000"/>
              </a:solidFill>
            </a:rPr>
            <a:t>Vissza a kezdőlapra</a:t>
          </a:r>
        </a:p>
      </xdr:txBody>
    </xdr: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304800</xdr:colOff>
      <xdr:row>2</xdr:row>
      <xdr:rowOff>133351</xdr:rowOff>
    </xdr:to>
    <xdr:sp macro="" textlink="">
      <xdr:nvSpPr>
        <xdr:cNvPr id="2" name="Nyíl: balra mutató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SpPr/>
      </xdr:nvSpPr>
      <xdr:spPr>
        <a:xfrm>
          <a:off x="0" y="0"/>
          <a:ext cx="1524000" cy="514351"/>
        </a:xfrm>
        <a:prstGeom prst="leftArrow">
          <a:avLst/>
        </a:prstGeom>
        <a:solidFill>
          <a:schemeClr val="bg2">
            <a:lumMod val="75000"/>
          </a:schemeClr>
        </a:solidFill>
        <a:ln>
          <a:solidFill>
            <a:sysClr val="windowText" lastClr="000000"/>
          </a:solidFill>
        </a:ln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hu-HU" sz="1100" b="1">
              <a:solidFill>
                <a:sysClr val="windowText" lastClr="000000"/>
              </a:solidFill>
            </a:rPr>
            <a:t>Vissza a kezdőlapra</a:t>
          </a:r>
        </a:p>
      </xdr:txBody>
    </xdr: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38100</xdr:colOff>
          <xdr:row>5</xdr:row>
          <xdr:rowOff>57150</xdr:rowOff>
        </xdr:from>
        <xdr:to>
          <xdr:col>8</xdr:col>
          <xdr:colOff>600075</xdr:colOff>
          <xdr:row>6</xdr:row>
          <xdr:rowOff>142875</xdr:rowOff>
        </xdr:to>
        <xdr:sp macro="" textlink="">
          <xdr:nvSpPr>
            <xdr:cNvPr id="31745" name="Check Box 1" hidden="1">
              <a:extLst>
                <a:ext uri="{63B3BB69-23CF-44E3-9099-C40C66FF867C}">
                  <a14:compatExt spid="_x0000_s31745"/>
                </a:ext>
                <a:ext uri="{FF2B5EF4-FFF2-40B4-BE49-F238E27FC236}">
                  <a16:creationId xmlns:a16="http://schemas.microsoft.com/office/drawing/2014/main" id="{00000000-0008-0000-1500-0000017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hu-HU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Betöltött 18. életév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38100</xdr:colOff>
          <xdr:row>6</xdr:row>
          <xdr:rowOff>133350</xdr:rowOff>
        </xdr:from>
        <xdr:to>
          <xdr:col>10</xdr:col>
          <xdr:colOff>600075</xdr:colOff>
          <xdr:row>8</xdr:row>
          <xdr:rowOff>57150</xdr:rowOff>
        </xdr:to>
        <xdr:sp macro="" textlink="">
          <xdr:nvSpPr>
            <xdr:cNvPr id="31746" name="Check Box 2" hidden="1">
              <a:extLst>
                <a:ext uri="{63B3BB69-23CF-44E3-9099-C40C66FF867C}">
                  <a14:compatExt spid="_x0000_s31746"/>
                </a:ext>
                <a:ext uri="{FF2B5EF4-FFF2-40B4-BE49-F238E27FC236}">
                  <a16:creationId xmlns:a16="http://schemas.microsoft.com/office/drawing/2014/main" id="{00000000-0008-0000-1500-0000027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hu-HU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legalább ötéves, a jóváhagyott képzési programra történő jelentkezés előtt szerzett munkatapasztalattal rendelkezik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38100</xdr:colOff>
          <xdr:row>8</xdr:row>
          <xdr:rowOff>47625</xdr:rowOff>
        </xdr:from>
        <xdr:to>
          <xdr:col>11</xdr:col>
          <xdr:colOff>266700</xdr:colOff>
          <xdr:row>9</xdr:row>
          <xdr:rowOff>123825</xdr:rowOff>
        </xdr:to>
        <xdr:sp macro="" textlink="">
          <xdr:nvSpPr>
            <xdr:cNvPr id="31747" name="Check Box 3" hidden="1">
              <a:extLst>
                <a:ext uri="{63B3BB69-23CF-44E3-9099-C40C66FF867C}">
                  <a14:compatExt spid="_x0000_s31747"/>
                </a:ext>
                <a:ext uri="{FF2B5EF4-FFF2-40B4-BE49-F238E27FC236}">
                  <a16:creationId xmlns:a16="http://schemas.microsoft.com/office/drawing/2014/main" id="{00000000-0008-0000-1500-0000037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hu-HU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egy képzési programra történő jelentkezést megelőzően, tengeri hajón, a fedélzeti személyzet tagjaként legalább 500 nap munkatapasztalatot szerzett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38100</xdr:colOff>
          <xdr:row>9</xdr:row>
          <xdr:rowOff>104775</xdr:rowOff>
        </xdr:from>
        <xdr:to>
          <xdr:col>10</xdr:col>
          <xdr:colOff>600075</xdr:colOff>
          <xdr:row>11</xdr:row>
          <xdr:rowOff>47625</xdr:rowOff>
        </xdr:to>
        <xdr:sp macro="" textlink="">
          <xdr:nvSpPr>
            <xdr:cNvPr id="31748" name="Check Box 4" hidden="1">
              <a:extLst>
                <a:ext uri="{63B3BB69-23CF-44E3-9099-C40C66FF867C}">
                  <a14:compatExt spid="_x0000_s31748"/>
                </a:ext>
                <a:ext uri="{FF2B5EF4-FFF2-40B4-BE49-F238E27FC236}">
                  <a16:creationId xmlns:a16="http://schemas.microsoft.com/office/drawing/2014/main" id="{00000000-0008-0000-1500-0000047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hu-HU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egy jóváhagyott képzési programra történő jelentkezést megelőzően, legalább hároméves időtartamú szakképzési programot végzett el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38100</xdr:colOff>
          <xdr:row>10</xdr:row>
          <xdr:rowOff>180975</xdr:rowOff>
        </xdr:from>
        <xdr:to>
          <xdr:col>11</xdr:col>
          <xdr:colOff>533400</xdr:colOff>
          <xdr:row>12</xdr:row>
          <xdr:rowOff>133350</xdr:rowOff>
        </xdr:to>
        <xdr:sp macro="" textlink="">
          <xdr:nvSpPr>
            <xdr:cNvPr id="31749" name="Check Box 5" hidden="1">
              <a:extLst>
                <a:ext uri="{63B3BB69-23CF-44E3-9099-C40C66FF867C}">
                  <a14:compatExt spid="_x0000_s31749"/>
                </a:ext>
                <a:ext uri="{FF2B5EF4-FFF2-40B4-BE49-F238E27FC236}">
                  <a16:creationId xmlns:a16="http://schemas.microsoft.com/office/drawing/2014/main" id="{00000000-0008-0000-1500-0000057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hu-HU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Rendelkezik 2022. január 18. napját megelőzően megszerzett matróz képesítéssel és 540 nap, ebből legalább 180 nap belvízi hajózási idővel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38100</xdr:colOff>
          <xdr:row>13</xdr:row>
          <xdr:rowOff>9525</xdr:rowOff>
        </xdr:from>
        <xdr:to>
          <xdr:col>11</xdr:col>
          <xdr:colOff>76200</xdr:colOff>
          <xdr:row>14</xdr:row>
          <xdr:rowOff>161925</xdr:rowOff>
        </xdr:to>
        <xdr:sp macro="" textlink="">
          <xdr:nvSpPr>
            <xdr:cNvPr id="31750" name="Check Box 6" hidden="1">
              <a:extLst>
                <a:ext uri="{63B3BB69-23CF-44E3-9099-C40C66FF867C}">
                  <a14:compatExt spid="_x0000_s31750"/>
                </a:ext>
                <a:ext uri="{FF2B5EF4-FFF2-40B4-BE49-F238E27FC236}">
                  <a16:creationId xmlns:a16="http://schemas.microsoft.com/office/drawing/2014/main" id="{00000000-0008-0000-1500-0000067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hu-HU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A "Az úszástudás mentési célból történő alkalmazásának demonstrálása gyakorlati kompetenciák" vizsgatárgy kompetenciafelmérését sikeres eredménnyel, előzőleg elvégezte.</a:t>
              </a:r>
            </a:p>
          </xdr:txBody>
        </xdr:sp>
        <xdr:clientData/>
      </xdr:twoCellAnchor>
    </mc:Choice>
    <mc:Fallback/>
  </mc:AlternateContent>
  <xdr:twoCellAnchor>
    <xdr:from>
      <xdr:col>0</xdr:col>
      <xdr:colOff>0</xdr:colOff>
      <xdr:row>0</xdr:row>
      <xdr:rowOff>1</xdr:rowOff>
    </xdr:from>
    <xdr:to>
      <xdr:col>2</xdr:col>
      <xdr:colOff>523874</xdr:colOff>
      <xdr:row>2</xdr:row>
      <xdr:rowOff>38101</xdr:rowOff>
    </xdr:to>
    <xdr:sp macro="" textlink="">
      <xdr:nvSpPr>
        <xdr:cNvPr id="8" name="Nyíl: balra mutató 7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500-000008000000}"/>
            </a:ext>
          </a:extLst>
        </xdr:cNvPr>
        <xdr:cNvSpPr/>
      </xdr:nvSpPr>
      <xdr:spPr>
        <a:xfrm>
          <a:off x="0" y="1"/>
          <a:ext cx="1533524" cy="419100"/>
        </a:xfrm>
        <a:prstGeom prst="leftArrow">
          <a:avLst/>
        </a:prstGeom>
        <a:solidFill>
          <a:schemeClr val="bg2">
            <a:lumMod val="75000"/>
          </a:schemeClr>
        </a:solidFill>
        <a:ln>
          <a:solidFill>
            <a:sysClr val="windowText" lastClr="000000"/>
          </a:solidFill>
        </a:ln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hu-HU" sz="1100" b="1">
              <a:solidFill>
                <a:sysClr val="windowText" lastClr="000000"/>
              </a:solidFill>
            </a:rPr>
            <a:t>Vissza a kezdőlapra</a:t>
          </a:r>
        </a:p>
      </xdr:txBody>
    </xdr:sp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57150</xdr:colOff>
          <xdr:row>6</xdr:row>
          <xdr:rowOff>142875</xdr:rowOff>
        </xdr:from>
        <xdr:to>
          <xdr:col>9</xdr:col>
          <xdr:colOff>9525</xdr:colOff>
          <xdr:row>8</xdr:row>
          <xdr:rowOff>38100</xdr:rowOff>
        </xdr:to>
        <xdr:sp macro="" textlink="">
          <xdr:nvSpPr>
            <xdr:cNvPr id="36865" name="Check Box 1" hidden="1">
              <a:extLst>
                <a:ext uri="{63B3BB69-23CF-44E3-9099-C40C66FF867C}">
                  <a14:compatExt spid="_x0000_s36865"/>
                </a:ext>
                <a:ext uri="{FF2B5EF4-FFF2-40B4-BE49-F238E27FC236}">
                  <a16:creationId xmlns:a16="http://schemas.microsoft.com/office/drawing/2014/main" id="{00000000-0008-0000-1600-000001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hu-HU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Uniós matróz képesítéssel rendelkezik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57150</xdr:colOff>
          <xdr:row>8</xdr:row>
          <xdr:rowOff>57150</xdr:rowOff>
        </xdr:from>
        <xdr:to>
          <xdr:col>9</xdr:col>
          <xdr:colOff>0</xdr:colOff>
          <xdr:row>10</xdr:row>
          <xdr:rowOff>104775</xdr:rowOff>
        </xdr:to>
        <xdr:sp macro="" textlink="">
          <xdr:nvSpPr>
            <xdr:cNvPr id="36866" name="Check Box 2" hidden="1">
              <a:extLst>
                <a:ext uri="{63B3BB69-23CF-44E3-9099-C40C66FF867C}">
                  <a14:compatExt spid="_x0000_s36866"/>
                </a:ext>
                <a:ext uri="{FF2B5EF4-FFF2-40B4-BE49-F238E27FC236}">
                  <a16:creationId xmlns:a16="http://schemas.microsoft.com/office/drawing/2014/main" id="{00000000-0008-0000-1600-000002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hu-HU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2022. január 18. napja előtt megszerzett képesített matróz képesítéssel rendelkezik és teljesített 900 nap hajózási időt, ebből legalább 540 napot belvízi hajózásban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57150</xdr:colOff>
          <xdr:row>10</xdr:row>
          <xdr:rowOff>171450</xdr:rowOff>
        </xdr:from>
        <xdr:to>
          <xdr:col>9</xdr:col>
          <xdr:colOff>428625</xdr:colOff>
          <xdr:row>13</xdr:row>
          <xdr:rowOff>66675</xdr:rowOff>
        </xdr:to>
        <xdr:sp macro="" textlink="">
          <xdr:nvSpPr>
            <xdr:cNvPr id="36867" name="Check Box 3" hidden="1">
              <a:extLst>
                <a:ext uri="{63B3BB69-23CF-44E3-9099-C40C66FF867C}">
                  <a14:compatExt spid="_x0000_s36867"/>
                </a:ext>
                <a:ext uri="{FF2B5EF4-FFF2-40B4-BE49-F238E27FC236}">
                  <a16:creationId xmlns:a16="http://schemas.microsoft.com/office/drawing/2014/main" id="{00000000-0008-0000-1600-000003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hu-HU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A "Az úszástudás mentési célból történő alkalmazásának demonstrálása gyakorlati kompetenciák" vizsgatárgy kompetenciafelmérését sikeres eredménnyel, előzőleg elvégezte.</a:t>
              </a:r>
            </a:p>
          </xdr:txBody>
        </xdr:sp>
        <xdr:clientData/>
      </xdr:twoCellAnchor>
    </mc:Choice>
    <mc:Fallback/>
  </mc:AlternateContent>
  <xdr:twoCellAnchor>
    <xdr:from>
      <xdr:col>0</xdr:col>
      <xdr:colOff>0</xdr:colOff>
      <xdr:row>0</xdr:row>
      <xdr:rowOff>0</xdr:rowOff>
    </xdr:from>
    <xdr:to>
      <xdr:col>2</xdr:col>
      <xdr:colOff>95250</xdr:colOff>
      <xdr:row>2</xdr:row>
      <xdr:rowOff>133351</xdr:rowOff>
    </xdr:to>
    <xdr:sp macro="" textlink="">
      <xdr:nvSpPr>
        <xdr:cNvPr id="5" name="Nyíl: balra mutató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600-000005000000}"/>
            </a:ext>
          </a:extLst>
        </xdr:cNvPr>
        <xdr:cNvSpPr/>
      </xdr:nvSpPr>
      <xdr:spPr>
        <a:xfrm>
          <a:off x="0" y="0"/>
          <a:ext cx="1524000" cy="514351"/>
        </a:xfrm>
        <a:prstGeom prst="leftArrow">
          <a:avLst/>
        </a:prstGeom>
        <a:solidFill>
          <a:schemeClr val="bg2">
            <a:lumMod val="75000"/>
          </a:schemeClr>
        </a:solidFill>
        <a:ln>
          <a:solidFill>
            <a:sysClr val="windowText" lastClr="000000"/>
          </a:solidFill>
        </a:ln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hu-HU" sz="1100" b="1">
              <a:solidFill>
                <a:sysClr val="windowText" lastClr="000000"/>
              </a:solidFill>
            </a:rPr>
            <a:t>Vissza a kezdőlapra</a:t>
          </a:r>
        </a:p>
      </xdr:txBody>
    </xdr:sp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38100</xdr:colOff>
          <xdr:row>5</xdr:row>
          <xdr:rowOff>57150</xdr:rowOff>
        </xdr:from>
        <xdr:to>
          <xdr:col>9</xdr:col>
          <xdr:colOff>57150</xdr:colOff>
          <xdr:row>6</xdr:row>
          <xdr:rowOff>142875</xdr:rowOff>
        </xdr:to>
        <xdr:sp macro="" textlink="">
          <xdr:nvSpPr>
            <xdr:cNvPr id="37889" name="Check Box 1" hidden="1">
              <a:extLst>
                <a:ext uri="{63B3BB69-23CF-44E3-9099-C40C66FF867C}">
                  <a14:compatExt spid="_x0000_s37889"/>
                </a:ext>
                <a:ext uri="{FF2B5EF4-FFF2-40B4-BE49-F238E27FC236}">
                  <a16:creationId xmlns:a16="http://schemas.microsoft.com/office/drawing/2014/main" id="{00000000-0008-0000-1700-0000019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hu-HU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UNIÓS képesített matróz képesítéssel rendelkezik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38100</xdr:colOff>
          <xdr:row>6</xdr:row>
          <xdr:rowOff>180975</xdr:rowOff>
        </xdr:from>
        <xdr:to>
          <xdr:col>9</xdr:col>
          <xdr:colOff>57150</xdr:colOff>
          <xdr:row>8</xdr:row>
          <xdr:rowOff>76200</xdr:rowOff>
        </xdr:to>
        <xdr:sp macro="" textlink="">
          <xdr:nvSpPr>
            <xdr:cNvPr id="37890" name="Check Box 2" hidden="1">
              <a:extLst>
                <a:ext uri="{63B3BB69-23CF-44E3-9099-C40C66FF867C}">
                  <a14:compatExt spid="_x0000_s37890"/>
                </a:ext>
                <a:ext uri="{FF2B5EF4-FFF2-40B4-BE49-F238E27FC236}">
                  <a16:creationId xmlns:a16="http://schemas.microsoft.com/office/drawing/2014/main" id="{00000000-0008-0000-1700-0000029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hu-HU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Legalább 500 nap munkatapasztalattal rendelkezik tengeri hajó parancsnokaként betöltött szolgálatban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38100</xdr:colOff>
          <xdr:row>8</xdr:row>
          <xdr:rowOff>104775</xdr:rowOff>
        </xdr:from>
        <xdr:to>
          <xdr:col>10</xdr:col>
          <xdr:colOff>104775</xdr:colOff>
          <xdr:row>11</xdr:row>
          <xdr:rowOff>28575</xdr:rowOff>
        </xdr:to>
        <xdr:sp macro="" textlink="">
          <xdr:nvSpPr>
            <xdr:cNvPr id="37891" name="Check Box 3" hidden="1">
              <a:extLst>
                <a:ext uri="{63B3BB69-23CF-44E3-9099-C40C66FF867C}">
                  <a14:compatExt spid="_x0000_s37891"/>
                </a:ext>
                <a:ext uri="{FF2B5EF4-FFF2-40B4-BE49-F238E27FC236}">
                  <a16:creationId xmlns:a16="http://schemas.microsoft.com/office/drawing/2014/main" id="{00000000-0008-0000-1700-0000039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hu-HU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Rendelkezik 2022. január 18. napja előtt megszerzett kormányos képesítéssel és 1080 nap hajózási időt teljesített, ebből legalább 720 napot belvízi hajózásban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38100</xdr:colOff>
          <xdr:row>11</xdr:row>
          <xdr:rowOff>28575</xdr:rowOff>
        </xdr:from>
        <xdr:to>
          <xdr:col>11</xdr:col>
          <xdr:colOff>142875</xdr:colOff>
          <xdr:row>12</xdr:row>
          <xdr:rowOff>180975</xdr:rowOff>
        </xdr:to>
        <xdr:sp macro="" textlink="">
          <xdr:nvSpPr>
            <xdr:cNvPr id="37892" name="Check Box 4" hidden="1">
              <a:extLst>
                <a:ext uri="{63B3BB69-23CF-44E3-9099-C40C66FF867C}">
                  <a14:compatExt spid="_x0000_s37892"/>
                </a:ext>
                <a:ext uri="{FF2B5EF4-FFF2-40B4-BE49-F238E27FC236}">
                  <a16:creationId xmlns:a16="http://schemas.microsoft.com/office/drawing/2014/main" id="{00000000-0008-0000-1700-0000049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hu-HU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A "Vízből mentés" vizsgatárgy kompetenciafelmérését sikeres eredménnyel, előzőleg elvégezte.</a:t>
              </a:r>
            </a:p>
          </xdr:txBody>
        </xdr:sp>
        <xdr:clientData/>
      </xdr:twoCellAnchor>
    </mc:Choice>
    <mc:Fallback/>
  </mc:AlternateContent>
  <xdr:twoCellAnchor>
    <xdr:from>
      <xdr:col>0</xdr:col>
      <xdr:colOff>0</xdr:colOff>
      <xdr:row>0</xdr:row>
      <xdr:rowOff>0</xdr:rowOff>
    </xdr:from>
    <xdr:to>
      <xdr:col>2</xdr:col>
      <xdr:colOff>161925</xdr:colOff>
      <xdr:row>2</xdr:row>
      <xdr:rowOff>133351</xdr:rowOff>
    </xdr:to>
    <xdr:sp macro="" textlink="">
      <xdr:nvSpPr>
        <xdr:cNvPr id="6" name="Nyíl: balra mutató 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700-000006000000}"/>
            </a:ext>
          </a:extLst>
        </xdr:cNvPr>
        <xdr:cNvSpPr/>
      </xdr:nvSpPr>
      <xdr:spPr>
        <a:xfrm>
          <a:off x="0" y="0"/>
          <a:ext cx="1524000" cy="514351"/>
        </a:xfrm>
        <a:prstGeom prst="leftArrow">
          <a:avLst/>
        </a:prstGeom>
        <a:solidFill>
          <a:schemeClr val="bg2">
            <a:lumMod val="75000"/>
          </a:schemeClr>
        </a:solidFill>
        <a:ln>
          <a:solidFill>
            <a:sysClr val="windowText" lastClr="000000"/>
          </a:solidFill>
        </a:ln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hu-HU" sz="1100" b="1">
              <a:solidFill>
                <a:sysClr val="windowText" lastClr="000000"/>
              </a:solidFill>
            </a:rPr>
            <a:t>Vissza a kezdőlapra</a:t>
          </a:r>
        </a:p>
      </xdr:txBody>
    </xdr:sp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38100</xdr:colOff>
          <xdr:row>5</xdr:row>
          <xdr:rowOff>38100</xdr:rowOff>
        </xdr:from>
        <xdr:to>
          <xdr:col>11</xdr:col>
          <xdr:colOff>295275</xdr:colOff>
          <xdr:row>6</xdr:row>
          <xdr:rowOff>123825</xdr:rowOff>
        </xdr:to>
        <xdr:sp macro="" textlink="">
          <xdr:nvSpPr>
            <xdr:cNvPr id="38913" name="Check Box 1" hidden="1">
              <a:extLst>
                <a:ext uri="{63B3BB69-23CF-44E3-9099-C40C66FF867C}">
                  <a14:compatExt spid="_x0000_s38913"/>
                </a:ext>
                <a:ext uri="{FF2B5EF4-FFF2-40B4-BE49-F238E27FC236}">
                  <a16:creationId xmlns:a16="http://schemas.microsoft.com/office/drawing/2014/main" id="{00000000-0008-0000-1800-000001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hu-HU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Rendelkezik "A" vagy "B" kategóriájú hajóvezető képesítéssel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38100</xdr:colOff>
          <xdr:row>6</xdr:row>
          <xdr:rowOff>95250</xdr:rowOff>
        </xdr:from>
        <xdr:to>
          <xdr:col>10</xdr:col>
          <xdr:colOff>409575</xdr:colOff>
          <xdr:row>8</xdr:row>
          <xdr:rowOff>180975</xdr:rowOff>
        </xdr:to>
        <xdr:sp macro="" textlink="">
          <xdr:nvSpPr>
            <xdr:cNvPr id="38914" name="Check Box 2" hidden="1">
              <a:extLst>
                <a:ext uri="{63B3BB69-23CF-44E3-9099-C40C66FF867C}">
                  <a14:compatExt spid="_x0000_s38914"/>
                </a:ext>
                <a:ext uri="{FF2B5EF4-FFF2-40B4-BE49-F238E27FC236}">
                  <a16:creationId xmlns:a16="http://schemas.microsoft.com/office/drawing/2014/main" id="{00000000-0008-0000-1800-000002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hu-HU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Rendelkezik 2022. január 18. napját megelőzően megszerzett „C” kategóriájú hajóvezető képesítéssel és legalább két év nagyhajóvezetői szolgálattal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38100</xdr:colOff>
          <xdr:row>8</xdr:row>
          <xdr:rowOff>161925</xdr:rowOff>
        </xdr:from>
        <xdr:to>
          <xdr:col>11</xdr:col>
          <xdr:colOff>295275</xdr:colOff>
          <xdr:row>10</xdr:row>
          <xdr:rowOff>57150</xdr:rowOff>
        </xdr:to>
        <xdr:sp macro="" textlink="">
          <xdr:nvSpPr>
            <xdr:cNvPr id="38915" name="Check Box 3" hidden="1">
              <a:extLst>
                <a:ext uri="{63B3BB69-23CF-44E3-9099-C40C66FF867C}">
                  <a14:compatExt spid="_x0000_s38915"/>
                </a:ext>
                <a:ext uri="{FF2B5EF4-FFF2-40B4-BE49-F238E27FC236}">
                  <a16:creationId xmlns:a16="http://schemas.microsoft.com/office/drawing/2014/main" id="{00000000-0008-0000-1800-000003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hu-HU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Rendelkezik "C" kategóriájú hajóvezetői képesítéssel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38100</xdr:colOff>
          <xdr:row>10</xdr:row>
          <xdr:rowOff>47625</xdr:rowOff>
        </xdr:from>
        <xdr:to>
          <xdr:col>13</xdr:col>
          <xdr:colOff>314325</xdr:colOff>
          <xdr:row>11</xdr:row>
          <xdr:rowOff>161925</xdr:rowOff>
        </xdr:to>
        <xdr:sp macro="" textlink="">
          <xdr:nvSpPr>
            <xdr:cNvPr id="38916" name="Check Box 4" hidden="1">
              <a:extLst>
                <a:ext uri="{63B3BB69-23CF-44E3-9099-C40C66FF867C}">
                  <a14:compatExt spid="_x0000_s38916"/>
                </a:ext>
                <a:ext uri="{FF2B5EF4-FFF2-40B4-BE49-F238E27FC236}">
                  <a16:creationId xmlns:a16="http://schemas.microsoft.com/office/drawing/2014/main" id="{00000000-0008-0000-1800-000004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hu-HU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Sikeresen vizsgát tett a Vizsgaközpontnál, vagy a képzési program keretében az üzemeltetési szintű kompetenciák felmérése során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38100</xdr:colOff>
          <xdr:row>11</xdr:row>
          <xdr:rowOff>171450</xdr:rowOff>
        </xdr:from>
        <xdr:to>
          <xdr:col>13</xdr:col>
          <xdr:colOff>133350</xdr:colOff>
          <xdr:row>13</xdr:row>
          <xdr:rowOff>95250</xdr:rowOff>
        </xdr:to>
        <xdr:sp macro="" textlink="">
          <xdr:nvSpPr>
            <xdr:cNvPr id="38917" name="Check Box 5" hidden="1">
              <a:extLst>
                <a:ext uri="{63B3BB69-23CF-44E3-9099-C40C66FF867C}">
                  <a14:compatExt spid="_x0000_s38917"/>
                </a:ext>
                <a:ext uri="{FF2B5EF4-FFF2-40B4-BE49-F238E27FC236}">
                  <a16:creationId xmlns:a16="http://schemas.microsoft.com/office/drawing/2014/main" id="{00000000-0008-0000-1800-000005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hu-HU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Legalább három év időtartamú, az irányítási szintű kompetenciákra vonatkozó, jóváhagyott képzési programot végzett el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38100</xdr:colOff>
          <xdr:row>13</xdr:row>
          <xdr:rowOff>104775</xdr:rowOff>
        </xdr:from>
        <xdr:to>
          <xdr:col>13</xdr:col>
          <xdr:colOff>371475</xdr:colOff>
          <xdr:row>14</xdr:row>
          <xdr:rowOff>171450</xdr:rowOff>
        </xdr:to>
        <xdr:sp macro="" textlink="">
          <xdr:nvSpPr>
            <xdr:cNvPr id="38918" name="Check Box 6" hidden="1">
              <a:extLst>
                <a:ext uri="{63B3BB69-23CF-44E3-9099-C40C66FF867C}">
                  <a14:compatExt spid="_x0000_s38918"/>
                </a:ext>
                <a:ext uri="{FF2B5EF4-FFF2-40B4-BE49-F238E27FC236}">
                  <a16:creationId xmlns:a16="http://schemas.microsoft.com/office/drawing/2014/main" id="{00000000-0008-0000-1800-000006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hu-HU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Uniós kormányosi képesítéssel vagy más elismert kormányosi képesítő bizonyítvánnyal rendelkezik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38100</xdr:colOff>
          <xdr:row>15</xdr:row>
          <xdr:rowOff>9525</xdr:rowOff>
        </xdr:from>
        <xdr:to>
          <xdr:col>12</xdr:col>
          <xdr:colOff>581025</xdr:colOff>
          <xdr:row>16</xdr:row>
          <xdr:rowOff>85725</xdr:rowOff>
        </xdr:to>
        <xdr:sp macro="" textlink="">
          <xdr:nvSpPr>
            <xdr:cNvPr id="38919" name="Check Box 7" hidden="1">
              <a:extLst>
                <a:ext uri="{63B3BB69-23CF-44E3-9099-C40C66FF867C}">
                  <a14:compatExt spid="_x0000_s38919"/>
                </a:ext>
                <a:ext uri="{FF2B5EF4-FFF2-40B4-BE49-F238E27FC236}">
                  <a16:creationId xmlns:a16="http://schemas.microsoft.com/office/drawing/2014/main" id="{00000000-0008-0000-1800-000007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hu-HU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Révész "A" képesítő bizonyítvánnyal rendelkezik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47625</xdr:colOff>
          <xdr:row>19</xdr:row>
          <xdr:rowOff>76200</xdr:rowOff>
        </xdr:from>
        <xdr:to>
          <xdr:col>12</xdr:col>
          <xdr:colOff>552450</xdr:colOff>
          <xdr:row>20</xdr:row>
          <xdr:rowOff>123825</xdr:rowOff>
        </xdr:to>
        <xdr:sp macro="" textlink="">
          <xdr:nvSpPr>
            <xdr:cNvPr id="38920" name="Option Button 8" hidden="1">
              <a:extLst>
                <a:ext uri="{63B3BB69-23CF-44E3-9099-C40C66FF867C}">
                  <a14:compatExt spid="_x0000_s38920"/>
                </a:ext>
                <a:ext uri="{FF2B5EF4-FFF2-40B4-BE49-F238E27FC236}">
                  <a16:creationId xmlns:a16="http://schemas.microsoft.com/office/drawing/2014/main" id="{00000000-0008-0000-1800-000008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hu-HU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Egy jóváhagyott képzési programra történő jelentkezést megelőzően megszerzett, legalább ötéves időtartamú munkatapasztalatot tud igazolni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47625</xdr:colOff>
          <xdr:row>20</xdr:row>
          <xdr:rowOff>114300</xdr:rowOff>
        </xdr:from>
        <xdr:to>
          <xdr:col>15</xdr:col>
          <xdr:colOff>38100</xdr:colOff>
          <xdr:row>22</xdr:row>
          <xdr:rowOff>0</xdr:rowOff>
        </xdr:to>
        <xdr:sp macro="" textlink="">
          <xdr:nvSpPr>
            <xdr:cNvPr id="38922" name="Option Button 10" hidden="1">
              <a:extLst>
                <a:ext uri="{63B3BB69-23CF-44E3-9099-C40C66FF867C}">
                  <a14:compatExt spid="_x0000_s38922"/>
                </a:ext>
                <a:ext uri="{FF2B5EF4-FFF2-40B4-BE49-F238E27FC236}">
                  <a16:creationId xmlns:a16="http://schemas.microsoft.com/office/drawing/2014/main" id="{00000000-0008-0000-1800-00000A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hu-HU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Egy képzési programra történő jelentkezést megelőzően, tengeri hajón, a fedélzeti személyzet tagjaként megszerzett, legalább 500 nap munkatapasztalatot igazol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47625</xdr:colOff>
          <xdr:row>22</xdr:row>
          <xdr:rowOff>9525</xdr:rowOff>
        </xdr:from>
        <xdr:to>
          <xdr:col>13</xdr:col>
          <xdr:colOff>600075</xdr:colOff>
          <xdr:row>23</xdr:row>
          <xdr:rowOff>57150</xdr:rowOff>
        </xdr:to>
        <xdr:sp macro="" textlink="">
          <xdr:nvSpPr>
            <xdr:cNvPr id="38924" name="Option Button 12" hidden="1">
              <a:extLst>
                <a:ext uri="{63B3BB69-23CF-44E3-9099-C40C66FF867C}">
                  <a14:compatExt spid="_x0000_s38924"/>
                </a:ext>
                <a:ext uri="{FF2B5EF4-FFF2-40B4-BE49-F238E27FC236}">
                  <a16:creationId xmlns:a16="http://schemas.microsoft.com/office/drawing/2014/main" id="{00000000-0008-0000-1800-00000C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hu-HU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Egy képzési programra történő jelentkezést megelőzően elvégzett, legalább három év időtartamú szakképzési program igazolása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47625</xdr:colOff>
          <xdr:row>17</xdr:row>
          <xdr:rowOff>180975</xdr:rowOff>
        </xdr:from>
        <xdr:to>
          <xdr:col>11</xdr:col>
          <xdr:colOff>342900</xdr:colOff>
          <xdr:row>19</xdr:row>
          <xdr:rowOff>76200</xdr:rowOff>
        </xdr:to>
        <xdr:sp macro="" textlink="">
          <xdr:nvSpPr>
            <xdr:cNvPr id="38925" name="Option Button 13" hidden="1">
              <a:extLst>
                <a:ext uri="{63B3BB69-23CF-44E3-9099-C40C66FF867C}">
                  <a14:compatExt spid="_x0000_s38925"/>
                </a:ext>
                <a:ext uri="{FF2B5EF4-FFF2-40B4-BE49-F238E27FC236}">
                  <a16:creationId xmlns:a16="http://schemas.microsoft.com/office/drawing/2014/main" id="{00000000-0008-0000-1800-00000D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hu-HU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Nincs további igazolás</a:t>
              </a:r>
            </a:p>
          </xdr:txBody>
        </xdr:sp>
        <xdr:clientData/>
      </xdr:twoCellAnchor>
    </mc:Choice>
    <mc:Fallback/>
  </mc:AlternateContent>
  <xdr:twoCellAnchor>
    <xdr:from>
      <xdr:col>0</xdr:col>
      <xdr:colOff>9525</xdr:colOff>
      <xdr:row>0</xdr:row>
      <xdr:rowOff>9525</xdr:rowOff>
    </xdr:from>
    <xdr:to>
      <xdr:col>4</xdr:col>
      <xdr:colOff>238125</xdr:colOff>
      <xdr:row>2</xdr:row>
      <xdr:rowOff>76200</xdr:rowOff>
    </xdr:to>
    <xdr:sp macro="" textlink="">
      <xdr:nvSpPr>
        <xdr:cNvPr id="13" name="Nyíl: balra mutató 1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800-00000D000000}"/>
            </a:ext>
          </a:extLst>
        </xdr:cNvPr>
        <xdr:cNvSpPr/>
      </xdr:nvSpPr>
      <xdr:spPr>
        <a:xfrm>
          <a:off x="9525" y="9525"/>
          <a:ext cx="1695450" cy="447675"/>
        </a:xfrm>
        <a:prstGeom prst="leftArrow">
          <a:avLst/>
        </a:prstGeom>
        <a:solidFill>
          <a:schemeClr val="bg2">
            <a:lumMod val="75000"/>
          </a:schemeClr>
        </a:solidFill>
        <a:ln>
          <a:solidFill>
            <a:sysClr val="windowText" lastClr="000000"/>
          </a:solidFill>
        </a:ln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hu-HU" sz="1100" b="1">
              <a:solidFill>
                <a:sysClr val="windowText" lastClr="000000"/>
              </a:solidFill>
            </a:rPr>
            <a:t>Vissza a kezdőlapra</a:t>
          </a:r>
        </a:p>
      </xdr:txBody>
    </xdr:sp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9</xdr:row>
          <xdr:rowOff>85725</xdr:rowOff>
        </xdr:from>
        <xdr:to>
          <xdr:col>6</xdr:col>
          <xdr:colOff>28575</xdr:colOff>
          <xdr:row>10</xdr:row>
          <xdr:rowOff>133350</xdr:rowOff>
        </xdr:to>
        <xdr:sp macro="" textlink="">
          <xdr:nvSpPr>
            <xdr:cNvPr id="39937" name="Check Box 1" hidden="1">
              <a:extLst>
                <a:ext uri="{63B3BB69-23CF-44E3-9099-C40C66FF867C}">
                  <a14:compatExt spid="_x0000_s39937"/>
                </a:ext>
                <a:ext uri="{FF2B5EF4-FFF2-40B4-BE49-F238E27FC236}">
                  <a16:creationId xmlns:a16="http://schemas.microsoft.com/office/drawing/2014/main" id="{00000000-0008-0000-1900-0000019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hu-HU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1880-1920 fkm közötti Duna szakasz (Bécsi Duna) vonalvizsgája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7</xdr:row>
          <xdr:rowOff>180975</xdr:rowOff>
        </xdr:from>
        <xdr:to>
          <xdr:col>5</xdr:col>
          <xdr:colOff>542925</xdr:colOff>
          <xdr:row>9</xdr:row>
          <xdr:rowOff>0</xdr:rowOff>
        </xdr:to>
        <xdr:sp macro="" textlink="">
          <xdr:nvSpPr>
            <xdr:cNvPr id="39938" name="Check Box 2" hidden="1">
              <a:extLst>
                <a:ext uri="{63B3BB69-23CF-44E3-9099-C40C66FF867C}">
                  <a14:compatExt spid="_x0000_s39938"/>
                </a:ext>
                <a:ext uri="{FF2B5EF4-FFF2-40B4-BE49-F238E27FC236}">
                  <a16:creationId xmlns:a16="http://schemas.microsoft.com/office/drawing/2014/main" id="{00000000-0008-0000-1900-0000029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hu-HU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2001-2036 fkm közötti Duna szakasz (Wachau) vonalvizsgája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6</xdr:row>
          <xdr:rowOff>85725</xdr:rowOff>
        </xdr:from>
        <xdr:to>
          <xdr:col>5</xdr:col>
          <xdr:colOff>571500</xdr:colOff>
          <xdr:row>7</xdr:row>
          <xdr:rowOff>114300</xdr:rowOff>
        </xdr:to>
        <xdr:sp macro="" textlink="">
          <xdr:nvSpPr>
            <xdr:cNvPr id="39939" name="Check Box 3" hidden="1">
              <a:extLst>
                <a:ext uri="{63B3BB69-23CF-44E3-9099-C40C66FF867C}">
                  <a14:compatExt spid="_x0000_s39939"/>
                </a:ext>
                <a:ext uri="{FF2B5EF4-FFF2-40B4-BE49-F238E27FC236}">
                  <a16:creationId xmlns:a16="http://schemas.microsoft.com/office/drawing/2014/main" id="{00000000-0008-0000-1900-0000039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hu-HU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2074-2081 fkm közötti Duna szakasz (Struden) vonalvizsgája</a:t>
              </a:r>
            </a:p>
          </xdr:txBody>
        </xdr:sp>
        <xdr:clientData/>
      </xdr:twoCellAnchor>
    </mc:Choice>
    <mc:Fallback/>
  </mc:AlternateContent>
  <xdr:twoCellAnchor>
    <xdr:from>
      <xdr:col>0</xdr:col>
      <xdr:colOff>0</xdr:colOff>
      <xdr:row>0</xdr:row>
      <xdr:rowOff>0</xdr:rowOff>
    </xdr:from>
    <xdr:to>
      <xdr:col>2</xdr:col>
      <xdr:colOff>257175</xdr:colOff>
      <xdr:row>2</xdr:row>
      <xdr:rowOff>133351</xdr:rowOff>
    </xdr:to>
    <xdr:sp macro="" textlink="">
      <xdr:nvSpPr>
        <xdr:cNvPr id="5" name="Nyíl: balra mutató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900-000005000000}"/>
            </a:ext>
          </a:extLst>
        </xdr:cNvPr>
        <xdr:cNvSpPr/>
      </xdr:nvSpPr>
      <xdr:spPr>
        <a:xfrm>
          <a:off x="0" y="0"/>
          <a:ext cx="1524000" cy="514351"/>
        </a:xfrm>
        <a:prstGeom prst="leftArrow">
          <a:avLst/>
        </a:prstGeom>
        <a:solidFill>
          <a:schemeClr val="bg2">
            <a:lumMod val="75000"/>
          </a:schemeClr>
        </a:solidFill>
        <a:ln>
          <a:solidFill>
            <a:sysClr val="windowText" lastClr="000000"/>
          </a:solidFill>
        </a:ln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hu-HU" sz="1100" b="1">
              <a:solidFill>
                <a:sysClr val="windowText" lastClr="000000"/>
              </a:solidFill>
            </a:rPr>
            <a:t>Vissza a kezdőlapra</a:t>
          </a:r>
        </a:p>
      </xdr:txBody>
    </xdr:sp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12</xdr:row>
          <xdr:rowOff>104775</xdr:rowOff>
        </xdr:from>
        <xdr:to>
          <xdr:col>4</xdr:col>
          <xdr:colOff>704850</xdr:colOff>
          <xdr:row>14</xdr:row>
          <xdr:rowOff>28575</xdr:rowOff>
        </xdr:to>
        <xdr:sp macro="" textlink="">
          <xdr:nvSpPr>
            <xdr:cNvPr id="40961" name="Check Box 1" hidden="1">
              <a:extLst>
                <a:ext uri="{63B3BB69-23CF-44E3-9099-C40C66FF867C}">
                  <a14:compatExt spid="_x0000_s40961"/>
                </a:ext>
                <a:ext uri="{FF2B5EF4-FFF2-40B4-BE49-F238E27FC236}">
                  <a16:creationId xmlns:a16="http://schemas.microsoft.com/office/drawing/2014/main" id="{00000000-0008-0000-1A00-000001A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hu-HU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1640-1578 fkm közötti Duna szakasz vonalvizsgája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11</xdr:row>
          <xdr:rowOff>9525</xdr:rowOff>
        </xdr:from>
        <xdr:to>
          <xdr:col>4</xdr:col>
          <xdr:colOff>676275</xdr:colOff>
          <xdr:row>12</xdr:row>
          <xdr:rowOff>85725</xdr:rowOff>
        </xdr:to>
        <xdr:sp macro="" textlink="">
          <xdr:nvSpPr>
            <xdr:cNvPr id="40962" name="Check Box 2" hidden="1">
              <a:extLst>
                <a:ext uri="{63B3BB69-23CF-44E3-9099-C40C66FF867C}">
                  <a14:compatExt spid="_x0000_s40962"/>
                </a:ext>
                <a:ext uri="{FF2B5EF4-FFF2-40B4-BE49-F238E27FC236}">
                  <a16:creationId xmlns:a16="http://schemas.microsoft.com/office/drawing/2014/main" id="{00000000-0008-0000-1A00-000002A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hu-HU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1660-1640 fkm közötti Duna szakasz vonalvizsgája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9</xdr:row>
          <xdr:rowOff>95250</xdr:rowOff>
        </xdr:from>
        <xdr:to>
          <xdr:col>4</xdr:col>
          <xdr:colOff>657225</xdr:colOff>
          <xdr:row>10</xdr:row>
          <xdr:rowOff>152400</xdr:rowOff>
        </xdr:to>
        <xdr:sp macro="" textlink="">
          <xdr:nvSpPr>
            <xdr:cNvPr id="40963" name="Check Box 3" hidden="1">
              <a:extLst>
                <a:ext uri="{63B3BB69-23CF-44E3-9099-C40C66FF867C}">
                  <a14:compatExt spid="_x0000_s40963"/>
                </a:ext>
                <a:ext uri="{FF2B5EF4-FFF2-40B4-BE49-F238E27FC236}">
                  <a16:creationId xmlns:a16="http://schemas.microsoft.com/office/drawing/2014/main" id="{00000000-0008-0000-1A00-000003A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hu-HU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1708-1660 fkm közötti Duna szakasz vonalvizsgája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14</xdr:row>
          <xdr:rowOff>38100</xdr:rowOff>
        </xdr:from>
        <xdr:to>
          <xdr:col>4</xdr:col>
          <xdr:colOff>704850</xdr:colOff>
          <xdr:row>15</xdr:row>
          <xdr:rowOff>85725</xdr:rowOff>
        </xdr:to>
        <xdr:sp macro="" textlink="">
          <xdr:nvSpPr>
            <xdr:cNvPr id="40964" name="Check Box 4" hidden="1">
              <a:extLst>
                <a:ext uri="{63B3BB69-23CF-44E3-9099-C40C66FF867C}">
                  <a14:compatExt spid="_x0000_s40964"/>
                </a:ext>
                <a:ext uri="{FF2B5EF4-FFF2-40B4-BE49-F238E27FC236}">
                  <a16:creationId xmlns:a16="http://schemas.microsoft.com/office/drawing/2014/main" id="{00000000-0008-0000-1A00-000004A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hu-HU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1578-1479 fkm közötti Duna szakasz vonalvizsgája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15</xdr:row>
          <xdr:rowOff>133350</xdr:rowOff>
        </xdr:from>
        <xdr:to>
          <xdr:col>4</xdr:col>
          <xdr:colOff>704850</xdr:colOff>
          <xdr:row>16</xdr:row>
          <xdr:rowOff>180975</xdr:rowOff>
        </xdr:to>
        <xdr:sp macro="" textlink="">
          <xdr:nvSpPr>
            <xdr:cNvPr id="40965" name="Check Box 5" hidden="1">
              <a:extLst>
                <a:ext uri="{63B3BB69-23CF-44E3-9099-C40C66FF867C}">
                  <a14:compatExt spid="_x0000_s40965"/>
                </a:ext>
                <a:ext uri="{FF2B5EF4-FFF2-40B4-BE49-F238E27FC236}">
                  <a16:creationId xmlns:a16="http://schemas.microsoft.com/office/drawing/2014/main" id="{00000000-0008-0000-1A00-000005A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hu-HU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1479-1433 fkm közötti Duna szakasz vonalvizsgája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333375</xdr:colOff>
          <xdr:row>6</xdr:row>
          <xdr:rowOff>95250</xdr:rowOff>
        </xdr:from>
        <xdr:to>
          <xdr:col>9</xdr:col>
          <xdr:colOff>28575</xdr:colOff>
          <xdr:row>7</xdr:row>
          <xdr:rowOff>104775</xdr:rowOff>
        </xdr:to>
        <xdr:sp macro="" textlink="">
          <xdr:nvSpPr>
            <xdr:cNvPr id="40966" name="Check Box 6" hidden="1">
              <a:extLst>
                <a:ext uri="{63B3BB69-23CF-44E3-9099-C40C66FF867C}">
                  <a14:compatExt spid="_x0000_s40966"/>
                </a:ext>
                <a:ext uri="{FF2B5EF4-FFF2-40B4-BE49-F238E27FC236}">
                  <a16:creationId xmlns:a16="http://schemas.microsoft.com/office/drawing/2014/main" id="{00000000-0008-0000-1A00-000006A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hu-HU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403-333 fkm közötti Tisza szakasz vonalvizsgája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333375</xdr:colOff>
          <xdr:row>8</xdr:row>
          <xdr:rowOff>38100</xdr:rowOff>
        </xdr:from>
        <xdr:to>
          <xdr:col>9</xdr:col>
          <xdr:colOff>28575</xdr:colOff>
          <xdr:row>9</xdr:row>
          <xdr:rowOff>47625</xdr:rowOff>
        </xdr:to>
        <xdr:sp macro="" textlink="">
          <xdr:nvSpPr>
            <xdr:cNvPr id="40967" name="Check Box 7" hidden="1">
              <a:extLst>
                <a:ext uri="{63B3BB69-23CF-44E3-9099-C40C66FF867C}">
                  <a14:compatExt spid="_x0000_s40967"/>
                </a:ext>
                <a:ext uri="{FF2B5EF4-FFF2-40B4-BE49-F238E27FC236}">
                  <a16:creationId xmlns:a16="http://schemas.microsoft.com/office/drawing/2014/main" id="{00000000-0008-0000-1A00-000007A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hu-HU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333-255 fkm közötti Tisza szakasz vonalvizsgája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6</xdr:row>
          <xdr:rowOff>95250</xdr:rowOff>
        </xdr:from>
        <xdr:to>
          <xdr:col>4</xdr:col>
          <xdr:colOff>657225</xdr:colOff>
          <xdr:row>7</xdr:row>
          <xdr:rowOff>161925</xdr:rowOff>
        </xdr:to>
        <xdr:sp macro="" textlink="">
          <xdr:nvSpPr>
            <xdr:cNvPr id="40968" name="Check Box 8" hidden="1">
              <a:extLst>
                <a:ext uri="{63B3BB69-23CF-44E3-9099-C40C66FF867C}">
                  <a14:compatExt spid="_x0000_s40968"/>
                </a:ext>
                <a:ext uri="{FF2B5EF4-FFF2-40B4-BE49-F238E27FC236}">
                  <a16:creationId xmlns:a16="http://schemas.microsoft.com/office/drawing/2014/main" id="{00000000-0008-0000-1A00-000008A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hu-HU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1811-1766 fkm közötti Duna szakasz vonalvizsgája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7</xdr:row>
          <xdr:rowOff>190500</xdr:rowOff>
        </xdr:from>
        <xdr:to>
          <xdr:col>4</xdr:col>
          <xdr:colOff>657225</xdr:colOff>
          <xdr:row>9</xdr:row>
          <xdr:rowOff>57150</xdr:rowOff>
        </xdr:to>
        <xdr:sp macro="" textlink="">
          <xdr:nvSpPr>
            <xdr:cNvPr id="40969" name="Check Box 9" hidden="1">
              <a:extLst>
                <a:ext uri="{63B3BB69-23CF-44E3-9099-C40C66FF867C}">
                  <a14:compatExt spid="_x0000_s40969"/>
                </a:ext>
                <a:ext uri="{FF2B5EF4-FFF2-40B4-BE49-F238E27FC236}">
                  <a16:creationId xmlns:a16="http://schemas.microsoft.com/office/drawing/2014/main" id="{00000000-0008-0000-1A00-000009A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hu-HU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1766-1708 fkm közötti Duna szakasz vonalvizsgája</a:t>
              </a:r>
            </a:p>
          </xdr:txBody>
        </xdr:sp>
        <xdr:clientData/>
      </xdr:twoCellAnchor>
    </mc:Choice>
    <mc:Fallback/>
  </mc:AlternateContent>
  <xdr:twoCellAnchor>
    <xdr:from>
      <xdr:col>0</xdr:col>
      <xdr:colOff>0</xdr:colOff>
      <xdr:row>0</xdr:row>
      <xdr:rowOff>0</xdr:rowOff>
    </xdr:from>
    <xdr:to>
      <xdr:col>2</xdr:col>
      <xdr:colOff>276225</xdr:colOff>
      <xdr:row>2</xdr:row>
      <xdr:rowOff>133351</xdr:rowOff>
    </xdr:to>
    <xdr:sp macro="" textlink="">
      <xdr:nvSpPr>
        <xdr:cNvPr id="11" name="Nyíl: balra mutató 10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A00-00000B000000}"/>
            </a:ext>
          </a:extLst>
        </xdr:cNvPr>
        <xdr:cNvSpPr/>
      </xdr:nvSpPr>
      <xdr:spPr>
        <a:xfrm>
          <a:off x="0" y="0"/>
          <a:ext cx="1524000" cy="514351"/>
        </a:xfrm>
        <a:prstGeom prst="leftArrow">
          <a:avLst/>
        </a:prstGeom>
        <a:solidFill>
          <a:schemeClr val="bg2">
            <a:lumMod val="75000"/>
          </a:schemeClr>
        </a:solidFill>
        <a:ln>
          <a:solidFill>
            <a:sysClr val="windowText" lastClr="000000"/>
          </a:solidFill>
        </a:ln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hu-HU" sz="1100" b="1">
              <a:solidFill>
                <a:sysClr val="windowText" lastClr="000000"/>
              </a:solidFill>
            </a:rPr>
            <a:t>Vissza a kezdőlapra</a:t>
          </a:r>
        </a:p>
      </xdr:txBody>
    </xdr:sp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238125</xdr:colOff>
          <xdr:row>6</xdr:row>
          <xdr:rowOff>85725</xdr:rowOff>
        </xdr:from>
        <xdr:to>
          <xdr:col>6</xdr:col>
          <xdr:colOff>466725</xdr:colOff>
          <xdr:row>7</xdr:row>
          <xdr:rowOff>104775</xdr:rowOff>
        </xdr:to>
        <xdr:sp macro="" textlink="">
          <xdr:nvSpPr>
            <xdr:cNvPr id="41985" name="Check Box 1" hidden="1">
              <a:extLst>
                <a:ext uri="{63B3BB69-23CF-44E3-9099-C40C66FF867C}">
                  <a14:compatExt spid="_x0000_s41985"/>
                </a:ext>
                <a:ext uri="{FF2B5EF4-FFF2-40B4-BE49-F238E27FC236}">
                  <a16:creationId xmlns:a16="http://schemas.microsoft.com/office/drawing/2014/main" id="{00000000-0008-0000-1B00-000001A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hu-HU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2249-2259 fkm közötti Német szakasz vonalvizsgája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238125</xdr:colOff>
          <xdr:row>7</xdr:row>
          <xdr:rowOff>180975</xdr:rowOff>
        </xdr:from>
        <xdr:to>
          <xdr:col>6</xdr:col>
          <xdr:colOff>466725</xdr:colOff>
          <xdr:row>9</xdr:row>
          <xdr:rowOff>9525</xdr:rowOff>
        </xdr:to>
        <xdr:sp macro="" textlink="">
          <xdr:nvSpPr>
            <xdr:cNvPr id="41986" name="Check Box 2" hidden="1">
              <a:extLst>
                <a:ext uri="{63B3BB69-23CF-44E3-9099-C40C66FF867C}">
                  <a14:compatExt spid="_x0000_s41986"/>
                </a:ext>
                <a:ext uri="{FF2B5EF4-FFF2-40B4-BE49-F238E27FC236}">
                  <a16:creationId xmlns:a16="http://schemas.microsoft.com/office/drawing/2014/main" id="{00000000-0008-0000-1B00-000002A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hu-HU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2259-2269 fkm közötti Német szakasz vonalvizsgája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238125</xdr:colOff>
          <xdr:row>9</xdr:row>
          <xdr:rowOff>47625</xdr:rowOff>
        </xdr:from>
        <xdr:to>
          <xdr:col>6</xdr:col>
          <xdr:colOff>466725</xdr:colOff>
          <xdr:row>10</xdr:row>
          <xdr:rowOff>76200</xdr:rowOff>
        </xdr:to>
        <xdr:sp macro="" textlink="">
          <xdr:nvSpPr>
            <xdr:cNvPr id="41987" name="Check Box 3" hidden="1">
              <a:extLst>
                <a:ext uri="{63B3BB69-23CF-44E3-9099-C40C66FF867C}">
                  <a14:compatExt spid="_x0000_s41987"/>
                </a:ext>
                <a:ext uri="{FF2B5EF4-FFF2-40B4-BE49-F238E27FC236}">
                  <a16:creationId xmlns:a16="http://schemas.microsoft.com/office/drawing/2014/main" id="{00000000-0008-0000-1B00-000003A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hu-HU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2269-2276 fkm közötti Német szakasz vonalvizsgája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238125</xdr:colOff>
          <xdr:row>10</xdr:row>
          <xdr:rowOff>123825</xdr:rowOff>
        </xdr:from>
        <xdr:to>
          <xdr:col>6</xdr:col>
          <xdr:colOff>466725</xdr:colOff>
          <xdr:row>11</xdr:row>
          <xdr:rowOff>142875</xdr:rowOff>
        </xdr:to>
        <xdr:sp macro="" textlink="">
          <xdr:nvSpPr>
            <xdr:cNvPr id="41988" name="Check Box 4" hidden="1">
              <a:extLst>
                <a:ext uri="{63B3BB69-23CF-44E3-9099-C40C66FF867C}">
                  <a14:compatExt spid="_x0000_s41988"/>
                </a:ext>
                <a:ext uri="{FF2B5EF4-FFF2-40B4-BE49-F238E27FC236}">
                  <a16:creationId xmlns:a16="http://schemas.microsoft.com/office/drawing/2014/main" id="{00000000-0008-0000-1B00-000004A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hu-HU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2276-2284 fkm közötti Német szakasz vonalvizsgája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238125</xdr:colOff>
          <xdr:row>12</xdr:row>
          <xdr:rowOff>19050</xdr:rowOff>
        </xdr:from>
        <xdr:to>
          <xdr:col>6</xdr:col>
          <xdr:colOff>466725</xdr:colOff>
          <xdr:row>13</xdr:row>
          <xdr:rowOff>38100</xdr:rowOff>
        </xdr:to>
        <xdr:sp macro="" textlink="">
          <xdr:nvSpPr>
            <xdr:cNvPr id="41989" name="Check Box 5" hidden="1">
              <a:extLst>
                <a:ext uri="{63B3BB69-23CF-44E3-9099-C40C66FF867C}">
                  <a14:compatExt spid="_x0000_s41989"/>
                </a:ext>
                <a:ext uri="{FF2B5EF4-FFF2-40B4-BE49-F238E27FC236}">
                  <a16:creationId xmlns:a16="http://schemas.microsoft.com/office/drawing/2014/main" id="{00000000-0008-0000-1B00-000005A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hu-HU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2284-2295 fkm közötti Német szakasz vonalvizsgája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238125</xdr:colOff>
          <xdr:row>13</xdr:row>
          <xdr:rowOff>85725</xdr:rowOff>
        </xdr:from>
        <xdr:to>
          <xdr:col>6</xdr:col>
          <xdr:colOff>466725</xdr:colOff>
          <xdr:row>14</xdr:row>
          <xdr:rowOff>104775</xdr:rowOff>
        </xdr:to>
        <xdr:sp macro="" textlink="">
          <xdr:nvSpPr>
            <xdr:cNvPr id="41990" name="Check Box 6" hidden="1">
              <a:extLst>
                <a:ext uri="{63B3BB69-23CF-44E3-9099-C40C66FF867C}">
                  <a14:compatExt spid="_x0000_s41990"/>
                </a:ext>
                <a:ext uri="{FF2B5EF4-FFF2-40B4-BE49-F238E27FC236}">
                  <a16:creationId xmlns:a16="http://schemas.microsoft.com/office/drawing/2014/main" id="{00000000-0008-0000-1B00-000006A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hu-HU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2295-2305 fkm közötti Német szakasz vonalvizsgája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238125</xdr:colOff>
          <xdr:row>14</xdr:row>
          <xdr:rowOff>161925</xdr:rowOff>
        </xdr:from>
        <xdr:to>
          <xdr:col>6</xdr:col>
          <xdr:colOff>466725</xdr:colOff>
          <xdr:row>15</xdr:row>
          <xdr:rowOff>180975</xdr:rowOff>
        </xdr:to>
        <xdr:sp macro="" textlink="">
          <xdr:nvSpPr>
            <xdr:cNvPr id="41991" name="Check Box 7" hidden="1">
              <a:extLst>
                <a:ext uri="{63B3BB69-23CF-44E3-9099-C40C66FF867C}">
                  <a14:compatExt spid="_x0000_s41991"/>
                </a:ext>
                <a:ext uri="{FF2B5EF4-FFF2-40B4-BE49-F238E27FC236}">
                  <a16:creationId xmlns:a16="http://schemas.microsoft.com/office/drawing/2014/main" id="{00000000-0008-0000-1B00-000007A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hu-HU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2305-2314 fkm közötti Német szakasz vonalvizsgája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238125</xdr:colOff>
          <xdr:row>16</xdr:row>
          <xdr:rowOff>47625</xdr:rowOff>
        </xdr:from>
        <xdr:to>
          <xdr:col>6</xdr:col>
          <xdr:colOff>466725</xdr:colOff>
          <xdr:row>17</xdr:row>
          <xdr:rowOff>76200</xdr:rowOff>
        </xdr:to>
        <xdr:sp macro="" textlink="">
          <xdr:nvSpPr>
            <xdr:cNvPr id="41992" name="Check Box 8" hidden="1">
              <a:extLst>
                <a:ext uri="{63B3BB69-23CF-44E3-9099-C40C66FF867C}">
                  <a14:compatExt spid="_x0000_s41992"/>
                </a:ext>
                <a:ext uri="{FF2B5EF4-FFF2-40B4-BE49-F238E27FC236}">
                  <a16:creationId xmlns:a16="http://schemas.microsoft.com/office/drawing/2014/main" id="{00000000-0008-0000-1B00-000008A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hu-HU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2314-2322 fkm közötti Német szakasz vonalvizsgája</a:t>
              </a:r>
            </a:p>
          </xdr:txBody>
        </xdr:sp>
        <xdr:clientData/>
      </xdr:twoCellAnchor>
    </mc:Choice>
    <mc:Fallback/>
  </mc:AlternateContent>
  <xdr:twoCellAnchor>
    <xdr:from>
      <xdr:col>0</xdr:col>
      <xdr:colOff>0</xdr:colOff>
      <xdr:row>0</xdr:row>
      <xdr:rowOff>0</xdr:rowOff>
    </xdr:from>
    <xdr:to>
      <xdr:col>2</xdr:col>
      <xdr:colOff>209550</xdr:colOff>
      <xdr:row>2</xdr:row>
      <xdr:rowOff>133351</xdr:rowOff>
    </xdr:to>
    <xdr:sp macro="" textlink="">
      <xdr:nvSpPr>
        <xdr:cNvPr id="10" name="Nyíl: balra mutató 9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B00-00000A000000}"/>
            </a:ext>
          </a:extLst>
        </xdr:cNvPr>
        <xdr:cNvSpPr/>
      </xdr:nvSpPr>
      <xdr:spPr>
        <a:xfrm>
          <a:off x="0" y="0"/>
          <a:ext cx="1524000" cy="514351"/>
        </a:xfrm>
        <a:prstGeom prst="leftArrow">
          <a:avLst/>
        </a:prstGeom>
        <a:solidFill>
          <a:schemeClr val="bg2">
            <a:lumMod val="75000"/>
          </a:schemeClr>
        </a:solidFill>
        <a:ln>
          <a:solidFill>
            <a:sysClr val="windowText" lastClr="000000"/>
          </a:solidFill>
        </a:ln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hu-HU" sz="1100" b="1">
              <a:solidFill>
                <a:sysClr val="windowText" lastClr="000000"/>
              </a:solidFill>
            </a:rPr>
            <a:t>Vissza a kezdőlapra</a:t>
          </a:r>
        </a:p>
      </xdr:txBody>
    </xdr:sp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85725</xdr:colOff>
          <xdr:row>5</xdr:row>
          <xdr:rowOff>171450</xdr:rowOff>
        </xdr:from>
        <xdr:to>
          <xdr:col>4</xdr:col>
          <xdr:colOff>533400</xdr:colOff>
          <xdr:row>8</xdr:row>
          <xdr:rowOff>28575</xdr:rowOff>
        </xdr:to>
        <xdr:sp macro="" textlink="">
          <xdr:nvSpPr>
            <xdr:cNvPr id="47105" name="Check Box 1" descr="Rajna: 335.66 - 425.00 fkm (Iffezheim - Mannheim)" hidden="1">
              <a:extLst>
                <a:ext uri="{63B3BB69-23CF-44E3-9099-C40C66FF867C}">
                  <a14:compatExt spid="_x0000_s47105"/>
                </a:ext>
                <a:ext uri="{FF2B5EF4-FFF2-40B4-BE49-F238E27FC236}">
                  <a16:creationId xmlns:a16="http://schemas.microsoft.com/office/drawing/2014/main" id="{00000000-0008-0000-1C00-000001B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hu-HU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Rajna 335.66-425.00 fkm (Iffezheim - Mannheim)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85725</xdr:colOff>
          <xdr:row>7</xdr:row>
          <xdr:rowOff>133350</xdr:rowOff>
        </xdr:from>
        <xdr:to>
          <xdr:col>4</xdr:col>
          <xdr:colOff>533400</xdr:colOff>
          <xdr:row>9</xdr:row>
          <xdr:rowOff>171450</xdr:rowOff>
        </xdr:to>
        <xdr:sp macro="" textlink="">
          <xdr:nvSpPr>
            <xdr:cNvPr id="47106" name="Check Box 2" descr="Rajna: 335.66 - 425.00 fkm (Iffezheim - Mannheim)" hidden="1">
              <a:extLst>
                <a:ext uri="{63B3BB69-23CF-44E3-9099-C40C66FF867C}">
                  <a14:compatExt spid="_x0000_s47106"/>
                </a:ext>
                <a:ext uri="{FF2B5EF4-FFF2-40B4-BE49-F238E27FC236}">
                  <a16:creationId xmlns:a16="http://schemas.microsoft.com/office/drawing/2014/main" id="{00000000-0008-0000-1C00-000002B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hu-HU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Rajna 498.45-592.00 fkm (Mainz - Koblenz)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85725</xdr:colOff>
          <xdr:row>9</xdr:row>
          <xdr:rowOff>85725</xdr:rowOff>
        </xdr:from>
        <xdr:to>
          <xdr:col>4</xdr:col>
          <xdr:colOff>533400</xdr:colOff>
          <xdr:row>11</xdr:row>
          <xdr:rowOff>123825</xdr:rowOff>
        </xdr:to>
        <xdr:sp macro="" textlink="">
          <xdr:nvSpPr>
            <xdr:cNvPr id="47107" name="Check Box 3" descr="Rajna: 335.66 - 425.00 fkm (Iffezheim - Mannheim)" hidden="1">
              <a:extLst>
                <a:ext uri="{63B3BB69-23CF-44E3-9099-C40C66FF867C}">
                  <a14:compatExt spid="_x0000_s47107"/>
                </a:ext>
                <a:ext uri="{FF2B5EF4-FFF2-40B4-BE49-F238E27FC236}">
                  <a16:creationId xmlns:a16="http://schemas.microsoft.com/office/drawing/2014/main" id="{00000000-0008-0000-1C00-000003B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hu-HU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Egyénileg választott szakasz</a:t>
              </a:r>
            </a:p>
          </xdr:txBody>
        </xdr:sp>
        <xdr:clientData/>
      </xdr:twoCellAnchor>
    </mc:Choice>
    <mc:Fallback/>
  </mc:AlternateContent>
  <xdr:twoCellAnchor>
    <xdr:from>
      <xdr:col>0</xdr:col>
      <xdr:colOff>0</xdr:colOff>
      <xdr:row>0</xdr:row>
      <xdr:rowOff>0</xdr:rowOff>
    </xdr:from>
    <xdr:to>
      <xdr:col>2</xdr:col>
      <xdr:colOff>209550</xdr:colOff>
      <xdr:row>2</xdr:row>
      <xdr:rowOff>133351</xdr:rowOff>
    </xdr:to>
    <xdr:sp macro="" textlink="">
      <xdr:nvSpPr>
        <xdr:cNvPr id="5" name="Nyíl: balra mutató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C00-000005000000}"/>
            </a:ext>
          </a:extLst>
        </xdr:cNvPr>
        <xdr:cNvSpPr/>
      </xdr:nvSpPr>
      <xdr:spPr>
        <a:xfrm>
          <a:off x="0" y="0"/>
          <a:ext cx="1524000" cy="514351"/>
        </a:xfrm>
        <a:prstGeom prst="leftArrow">
          <a:avLst/>
        </a:prstGeom>
        <a:solidFill>
          <a:schemeClr val="bg2">
            <a:lumMod val="75000"/>
          </a:schemeClr>
        </a:solidFill>
        <a:ln>
          <a:solidFill>
            <a:sysClr val="windowText" lastClr="000000"/>
          </a:solidFill>
        </a:ln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hu-HU" sz="1100" b="1">
              <a:solidFill>
                <a:sysClr val="windowText" lastClr="000000"/>
              </a:solidFill>
            </a:rPr>
            <a:t>Vissza a kezdőlapra</a:t>
          </a:r>
        </a:p>
      </xdr:txBody>
    </xdr:sp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28575</xdr:colOff>
          <xdr:row>6</xdr:row>
          <xdr:rowOff>47625</xdr:rowOff>
        </xdr:from>
        <xdr:to>
          <xdr:col>6</xdr:col>
          <xdr:colOff>142875</xdr:colOff>
          <xdr:row>8</xdr:row>
          <xdr:rowOff>47625</xdr:rowOff>
        </xdr:to>
        <xdr:sp macro="" textlink="">
          <xdr:nvSpPr>
            <xdr:cNvPr id="48129" name="Check Box 1" hidden="1">
              <a:extLst>
                <a:ext uri="{63B3BB69-23CF-44E3-9099-C40C66FF867C}">
                  <a14:compatExt spid="_x0000_s48129"/>
                </a:ext>
                <a:ext uri="{FF2B5EF4-FFF2-40B4-BE49-F238E27FC236}">
                  <a16:creationId xmlns:a16="http://schemas.microsoft.com/office/drawing/2014/main" id="{00000000-0008-0000-1D00-000001B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hu-HU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"A" kategóriájú hajóvezető képesítés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28575</xdr:colOff>
          <xdr:row>8</xdr:row>
          <xdr:rowOff>104775</xdr:rowOff>
        </xdr:from>
        <xdr:to>
          <xdr:col>8</xdr:col>
          <xdr:colOff>142875</xdr:colOff>
          <xdr:row>11</xdr:row>
          <xdr:rowOff>28575</xdr:rowOff>
        </xdr:to>
        <xdr:sp macro="" textlink="">
          <xdr:nvSpPr>
            <xdr:cNvPr id="48130" name="Check Box 2" hidden="1">
              <a:extLst>
                <a:ext uri="{63B3BB69-23CF-44E3-9099-C40C66FF867C}">
                  <a14:compatExt spid="_x0000_s48130"/>
                </a:ext>
                <a:ext uri="{FF2B5EF4-FFF2-40B4-BE49-F238E27FC236}">
                  <a16:creationId xmlns:a16="http://schemas.microsoft.com/office/drawing/2014/main" id="{00000000-0008-0000-1D00-000002B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hu-HU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2010. december 31. napjáig a magyar hajózási hatóságnál megszerzett hajóskapitányi képesítés és dokumentummal igazolt hajóskapitányként ellátott szolgálat</a:t>
              </a:r>
            </a:p>
          </xdr:txBody>
        </xdr:sp>
        <xdr:clientData/>
      </xdr:twoCellAnchor>
    </mc:Choice>
    <mc:Fallback/>
  </mc:AlternateContent>
  <xdr:twoCellAnchor>
    <xdr:from>
      <xdr:col>0</xdr:col>
      <xdr:colOff>0</xdr:colOff>
      <xdr:row>0</xdr:row>
      <xdr:rowOff>0</xdr:rowOff>
    </xdr:from>
    <xdr:to>
      <xdr:col>2</xdr:col>
      <xdr:colOff>238125</xdr:colOff>
      <xdr:row>2</xdr:row>
      <xdr:rowOff>133351</xdr:rowOff>
    </xdr:to>
    <xdr:sp macro="" textlink="">
      <xdr:nvSpPr>
        <xdr:cNvPr id="4" name="Nyíl: balra mutató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D00-000004000000}"/>
            </a:ext>
          </a:extLst>
        </xdr:cNvPr>
        <xdr:cNvSpPr/>
      </xdr:nvSpPr>
      <xdr:spPr>
        <a:xfrm>
          <a:off x="0" y="0"/>
          <a:ext cx="1524000" cy="514351"/>
        </a:xfrm>
        <a:prstGeom prst="leftArrow">
          <a:avLst/>
        </a:prstGeom>
        <a:solidFill>
          <a:schemeClr val="bg2">
            <a:lumMod val="75000"/>
          </a:schemeClr>
        </a:solidFill>
        <a:ln>
          <a:solidFill>
            <a:sysClr val="windowText" lastClr="000000"/>
          </a:solidFill>
        </a:ln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hu-HU" sz="1100" b="1">
              <a:solidFill>
                <a:sysClr val="windowText" lastClr="000000"/>
              </a:solidFill>
            </a:rPr>
            <a:t>Vissza a kezdőlapra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8</xdr:row>
          <xdr:rowOff>152400</xdr:rowOff>
        </xdr:from>
        <xdr:to>
          <xdr:col>4</xdr:col>
          <xdr:colOff>609600</xdr:colOff>
          <xdr:row>10</xdr:row>
          <xdr:rowOff>9525</xdr:rowOff>
        </xdr:to>
        <xdr:sp macro="" textlink="">
          <xdr:nvSpPr>
            <xdr:cNvPr id="5121" name="Check Box 1" hidden="1">
              <a:extLst>
                <a:ext uri="{63B3BB69-23CF-44E3-9099-C40C66FF867C}">
                  <a14:compatExt spid="_x0000_s5121"/>
                </a:ext>
                <a:ext uri="{FF2B5EF4-FFF2-40B4-BE49-F238E27FC236}">
                  <a16:creationId xmlns:a16="http://schemas.microsoft.com/office/drawing/2014/main" id="{00000000-0008-0000-0300-000001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hu-HU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Géptani alapismeretekkel rendelkezik</a:t>
              </a:r>
            </a:p>
          </xdr:txBody>
        </xdr:sp>
        <xdr:clientData/>
      </xdr:twoCellAnchor>
    </mc:Choice>
    <mc:Fallback/>
  </mc:AlternateContent>
  <xdr:twoCellAnchor>
    <xdr:from>
      <xdr:col>0</xdr:col>
      <xdr:colOff>0</xdr:colOff>
      <xdr:row>0</xdr:row>
      <xdr:rowOff>0</xdr:rowOff>
    </xdr:from>
    <xdr:to>
      <xdr:col>2</xdr:col>
      <xdr:colOff>304800</xdr:colOff>
      <xdr:row>2</xdr:row>
      <xdr:rowOff>133351</xdr:rowOff>
    </xdr:to>
    <xdr:sp macro="" textlink="">
      <xdr:nvSpPr>
        <xdr:cNvPr id="3" name="Nyíl: balra mutató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/>
      </xdr:nvSpPr>
      <xdr:spPr>
        <a:xfrm>
          <a:off x="0" y="0"/>
          <a:ext cx="1524000" cy="514351"/>
        </a:xfrm>
        <a:prstGeom prst="leftArrow">
          <a:avLst/>
        </a:prstGeom>
        <a:solidFill>
          <a:schemeClr val="bg2">
            <a:lumMod val="75000"/>
          </a:schemeClr>
        </a:solidFill>
        <a:ln>
          <a:solidFill>
            <a:sysClr val="windowText" lastClr="000000"/>
          </a:solidFill>
        </a:ln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hu-HU" sz="1100" b="1">
              <a:solidFill>
                <a:sysClr val="windowText" lastClr="000000"/>
              </a:solidFill>
            </a:rPr>
            <a:t>Vissza a kezdőlapra</a:t>
          </a:r>
        </a:p>
      </xdr:txBody>
    </xdr:sp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6</xdr:row>
          <xdr:rowOff>47625</xdr:rowOff>
        </xdr:from>
        <xdr:to>
          <xdr:col>8</xdr:col>
          <xdr:colOff>438150</xdr:colOff>
          <xdr:row>8</xdr:row>
          <xdr:rowOff>133350</xdr:rowOff>
        </xdr:to>
        <xdr:sp macro="" textlink="">
          <xdr:nvSpPr>
            <xdr:cNvPr id="49153" name="Check Box 1" hidden="1">
              <a:extLst>
                <a:ext uri="{63B3BB69-23CF-44E3-9099-C40C66FF867C}">
                  <a14:compatExt spid="_x0000_s49153"/>
                </a:ext>
                <a:ext uri="{FF2B5EF4-FFF2-40B4-BE49-F238E27FC236}">
                  <a16:creationId xmlns:a16="http://schemas.microsoft.com/office/drawing/2014/main" id="{00000000-0008-0000-1E00-000001C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hu-HU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2010. december 31. napjáig a magyar hajózási hatóságnál megszerzett hajóskapitányi képesítés és dokumentummal igazolt hajóskapitányként ellátott szolgálat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8</xdr:row>
          <xdr:rowOff>152400</xdr:rowOff>
        </xdr:from>
        <xdr:to>
          <xdr:col>3</xdr:col>
          <xdr:colOff>95250</xdr:colOff>
          <xdr:row>9</xdr:row>
          <xdr:rowOff>180975</xdr:rowOff>
        </xdr:to>
        <xdr:sp macro="" textlink="">
          <xdr:nvSpPr>
            <xdr:cNvPr id="49154" name="Option Button 2" hidden="1">
              <a:extLst>
                <a:ext uri="{63B3BB69-23CF-44E3-9099-C40C66FF867C}">
                  <a14:compatExt spid="_x0000_s49154"/>
                </a:ext>
                <a:ext uri="{FF2B5EF4-FFF2-40B4-BE49-F238E27FC236}">
                  <a16:creationId xmlns:a16="http://schemas.microsoft.com/office/drawing/2014/main" id="{00000000-0008-0000-1E00-000002C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hu-HU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EU Hajóvezető engedély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10</xdr:row>
          <xdr:rowOff>38100</xdr:rowOff>
        </xdr:from>
        <xdr:to>
          <xdr:col>5</xdr:col>
          <xdr:colOff>28575</xdr:colOff>
          <xdr:row>11</xdr:row>
          <xdr:rowOff>85725</xdr:rowOff>
        </xdr:to>
        <xdr:sp macro="" textlink="">
          <xdr:nvSpPr>
            <xdr:cNvPr id="49155" name="Option Button 3" hidden="1">
              <a:extLst>
                <a:ext uri="{63B3BB69-23CF-44E3-9099-C40C66FF867C}">
                  <a14:compatExt spid="_x0000_s49155"/>
                </a:ext>
                <a:ext uri="{FF2B5EF4-FFF2-40B4-BE49-F238E27FC236}">
                  <a16:creationId xmlns:a16="http://schemas.microsoft.com/office/drawing/2014/main" id="{00000000-0008-0000-1E00-000003C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hu-HU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A,B kategóriájú hajóvezetői engedély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11</xdr:row>
          <xdr:rowOff>142875</xdr:rowOff>
        </xdr:from>
        <xdr:to>
          <xdr:col>4</xdr:col>
          <xdr:colOff>276225</xdr:colOff>
          <xdr:row>12</xdr:row>
          <xdr:rowOff>161925</xdr:rowOff>
        </xdr:to>
        <xdr:sp macro="" textlink="">
          <xdr:nvSpPr>
            <xdr:cNvPr id="49156" name="Option Button 4" hidden="1">
              <a:extLst>
                <a:ext uri="{63B3BB69-23CF-44E3-9099-C40C66FF867C}">
                  <a14:compatExt spid="_x0000_s49156"/>
                </a:ext>
                <a:ext uri="{FF2B5EF4-FFF2-40B4-BE49-F238E27FC236}">
                  <a16:creationId xmlns:a16="http://schemas.microsoft.com/office/drawing/2014/main" id="{00000000-0008-0000-1E00-000004C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hu-HU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 kategóriájú hajóvezetői engedély</a:t>
              </a:r>
            </a:p>
          </xdr:txBody>
        </xdr:sp>
        <xdr:clientData/>
      </xdr:twoCellAnchor>
    </mc:Choice>
    <mc:Fallback/>
  </mc:AlternateContent>
  <xdr:twoCellAnchor>
    <xdr:from>
      <xdr:col>0</xdr:col>
      <xdr:colOff>0</xdr:colOff>
      <xdr:row>0</xdr:row>
      <xdr:rowOff>0</xdr:rowOff>
    </xdr:from>
    <xdr:to>
      <xdr:col>2</xdr:col>
      <xdr:colOff>219075</xdr:colOff>
      <xdr:row>2</xdr:row>
      <xdr:rowOff>133351</xdr:rowOff>
    </xdr:to>
    <xdr:sp macro="" textlink="">
      <xdr:nvSpPr>
        <xdr:cNvPr id="6" name="Nyíl: balra mutató 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E00-000006000000}"/>
            </a:ext>
          </a:extLst>
        </xdr:cNvPr>
        <xdr:cNvSpPr/>
      </xdr:nvSpPr>
      <xdr:spPr>
        <a:xfrm>
          <a:off x="0" y="0"/>
          <a:ext cx="1524000" cy="514351"/>
        </a:xfrm>
        <a:prstGeom prst="leftArrow">
          <a:avLst/>
        </a:prstGeom>
        <a:solidFill>
          <a:schemeClr val="bg2">
            <a:lumMod val="75000"/>
          </a:schemeClr>
        </a:solidFill>
        <a:ln>
          <a:solidFill>
            <a:sysClr val="windowText" lastClr="000000"/>
          </a:solidFill>
        </a:ln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hu-HU" sz="1100" b="1">
              <a:solidFill>
                <a:sysClr val="windowText" lastClr="000000"/>
              </a:solidFill>
            </a:rPr>
            <a:t>Vissza a kezdőlapra</a:t>
          </a:r>
        </a:p>
      </xdr:txBody>
    </xdr:sp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6</xdr:row>
          <xdr:rowOff>57150</xdr:rowOff>
        </xdr:from>
        <xdr:to>
          <xdr:col>9</xdr:col>
          <xdr:colOff>400050</xdr:colOff>
          <xdr:row>8</xdr:row>
          <xdr:rowOff>142875</xdr:rowOff>
        </xdr:to>
        <xdr:sp macro="" textlink="">
          <xdr:nvSpPr>
            <xdr:cNvPr id="50177" name="Check Box 1" hidden="1">
              <a:extLst>
                <a:ext uri="{63B3BB69-23CF-44E3-9099-C40C66FF867C}">
                  <a14:compatExt spid="_x0000_s50177"/>
                </a:ext>
                <a:ext uri="{FF2B5EF4-FFF2-40B4-BE49-F238E27FC236}">
                  <a16:creationId xmlns:a16="http://schemas.microsoft.com/office/drawing/2014/main" id="{00000000-0008-0000-1F00-000001C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hu-HU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"A" vagy "B" kategóriájú hajóvezető képesítés, vagy 2010. december 31. napjáig a magyar hajózási hatóságnál megszerzett hajóskapitányi képesítés és dokumentummal igazolt hajóskapitányként ellátott szolgálat</a:t>
              </a:r>
            </a:p>
          </xdr:txBody>
        </xdr:sp>
        <xdr:clientData/>
      </xdr:twoCellAnchor>
    </mc:Choice>
    <mc:Fallback/>
  </mc:AlternateContent>
  <xdr:twoCellAnchor>
    <xdr:from>
      <xdr:col>0</xdr:col>
      <xdr:colOff>0</xdr:colOff>
      <xdr:row>0</xdr:row>
      <xdr:rowOff>0</xdr:rowOff>
    </xdr:from>
    <xdr:to>
      <xdr:col>2</xdr:col>
      <xdr:colOff>304800</xdr:colOff>
      <xdr:row>2</xdr:row>
      <xdr:rowOff>133351</xdr:rowOff>
    </xdr:to>
    <xdr:sp macro="" textlink="">
      <xdr:nvSpPr>
        <xdr:cNvPr id="3" name="Nyíl: balra mutató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F00-000003000000}"/>
            </a:ext>
          </a:extLst>
        </xdr:cNvPr>
        <xdr:cNvSpPr/>
      </xdr:nvSpPr>
      <xdr:spPr>
        <a:xfrm>
          <a:off x="0" y="0"/>
          <a:ext cx="1524000" cy="514351"/>
        </a:xfrm>
        <a:prstGeom prst="leftArrow">
          <a:avLst/>
        </a:prstGeom>
        <a:solidFill>
          <a:schemeClr val="bg2">
            <a:lumMod val="75000"/>
          </a:schemeClr>
        </a:solidFill>
        <a:ln>
          <a:solidFill>
            <a:sysClr val="windowText" lastClr="000000"/>
          </a:solidFill>
        </a:ln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hu-HU" sz="1100" b="1">
              <a:solidFill>
                <a:sysClr val="windowText" lastClr="000000"/>
              </a:solidFill>
            </a:rPr>
            <a:t>Vissza a kezdőlapra</a:t>
          </a:r>
        </a:p>
      </xdr:txBody>
    </xdr:sp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28575</xdr:colOff>
          <xdr:row>6</xdr:row>
          <xdr:rowOff>57150</xdr:rowOff>
        </xdr:from>
        <xdr:to>
          <xdr:col>6</xdr:col>
          <xdr:colOff>533400</xdr:colOff>
          <xdr:row>7</xdr:row>
          <xdr:rowOff>133350</xdr:rowOff>
        </xdr:to>
        <xdr:sp macro="" textlink="">
          <xdr:nvSpPr>
            <xdr:cNvPr id="52225" name="Check Box 1" hidden="1">
              <a:extLst>
                <a:ext uri="{63B3BB69-23CF-44E3-9099-C40C66FF867C}">
                  <a14:compatExt spid="_x0000_s52225"/>
                </a:ext>
                <a:ext uri="{FF2B5EF4-FFF2-40B4-BE49-F238E27FC236}">
                  <a16:creationId xmlns:a16="http://schemas.microsoft.com/office/drawing/2014/main" id="{00000000-0008-0000-2000-000001C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hu-HU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Jóváhagyott képzőszervnél elvégzett tanfolyam és sikeres vizsga igazolása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28575</xdr:colOff>
          <xdr:row>7</xdr:row>
          <xdr:rowOff>180975</xdr:rowOff>
        </xdr:from>
        <xdr:to>
          <xdr:col>4</xdr:col>
          <xdr:colOff>209550</xdr:colOff>
          <xdr:row>9</xdr:row>
          <xdr:rowOff>66675</xdr:rowOff>
        </xdr:to>
        <xdr:sp macro="" textlink="">
          <xdr:nvSpPr>
            <xdr:cNvPr id="52226" name="Check Box 2" hidden="1">
              <a:extLst>
                <a:ext uri="{63B3BB69-23CF-44E3-9099-C40C66FF867C}">
                  <a14:compatExt spid="_x0000_s52226"/>
                </a:ext>
                <a:ext uri="{FF2B5EF4-FFF2-40B4-BE49-F238E27FC236}">
                  <a16:creationId xmlns:a16="http://schemas.microsoft.com/office/drawing/2014/main" id="{00000000-0008-0000-2000-000002C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hu-HU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Vizsgaközpont hatósági vizsga</a:t>
              </a:r>
            </a:p>
          </xdr:txBody>
        </xdr:sp>
        <xdr:clientData/>
      </xdr:twoCellAnchor>
    </mc:Choice>
    <mc:Fallback/>
  </mc:AlternateContent>
  <xdr:twoCellAnchor>
    <xdr:from>
      <xdr:col>0</xdr:col>
      <xdr:colOff>0</xdr:colOff>
      <xdr:row>0</xdr:row>
      <xdr:rowOff>0</xdr:rowOff>
    </xdr:from>
    <xdr:to>
      <xdr:col>2</xdr:col>
      <xdr:colOff>190500</xdr:colOff>
      <xdr:row>2</xdr:row>
      <xdr:rowOff>133351</xdr:rowOff>
    </xdr:to>
    <xdr:sp macro="" textlink="">
      <xdr:nvSpPr>
        <xdr:cNvPr id="4" name="Nyíl: balra mutató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000-000004000000}"/>
            </a:ext>
          </a:extLst>
        </xdr:cNvPr>
        <xdr:cNvSpPr/>
      </xdr:nvSpPr>
      <xdr:spPr>
        <a:xfrm>
          <a:off x="0" y="0"/>
          <a:ext cx="1524000" cy="514351"/>
        </a:xfrm>
        <a:prstGeom prst="leftArrow">
          <a:avLst/>
        </a:prstGeom>
        <a:solidFill>
          <a:schemeClr val="bg2">
            <a:lumMod val="75000"/>
          </a:schemeClr>
        </a:solidFill>
        <a:ln>
          <a:solidFill>
            <a:sysClr val="windowText" lastClr="000000"/>
          </a:solidFill>
        </a:ln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hu-HU" sz="1100" b="1">
              <a:solidFill>
                <a:sysClr val="windowText" lastClr="000000"/>
              </a:solidFill>
            </a:rPr>
            <a:t>Vissza a kezdőlapra</a:t>
          </a:r>
        </a:p>
      </xdr:txBody>
    </xdr:sp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9</xdr:row>
          <xdr:rowOff>0</xdr:rowOff>
        </xdr:from>
        <xdr:to>
          <xdr:col>3</xdr:col>
          <xdr:colOff>361950</xdr:colOff>
          <xdr:row>9</xdr:row>
          <xdr:rowOff>180975</xdr:rowOff>
        </xdr:to>
        <xdr:sp macro="" textlink="">
          <xdr:nvSpPr>
            <xdr:cNvPr id="51224" name="Option Button 24" hidden="1">
              <a:extLst>
                <a:ext uri="{63B3BB69-23CF-44E3-9099-C40C66FF867C}">
                  <a14:compatExt spid="_x0000_s51224"/>
                </a:ext>
                <a:ext uri="{FF2B5EF4-FFF2-40B4-BE49-F238E27FC236}">
                  <a16:creationId xmlns:a16="http://schemas.microsoft.com/office/drawing/2014/main" id="{00000000-0008-0000-2100-000018C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hu-HU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„A” kategóriájú hajóvezető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10</xdr:row>
          <xdr:rowOff>28575</xdr:rowOff>
        </xdr:from>
        <xdr:to>
          <xdr:col>3</xdr:col>
          <xdr:colOff>361950</xdr:colOff>
          <xdr:row>10</xdr:row>
          <xdr:rowOff>171450</xdr:rowOff>
        </xdr:to>
        <xdr:sp macro="" textlink="">
          <xdr:nvSpPr>
            <xdr:cNvPr id="51225" name="Option Button 25" hidden="1">
              <a:extLst>
                <a:ext uri="{63B3BB69-23CF-44E3-9099-C40C66FF867C}">
                  <a14:compatExt spid="_x0000_s51225"/>
                </a:ext>
                <a:ext uri="{FF2B5EF4-FFF2-40B4-BE49-F238E27FC236}">
                  <a16:creationId xmlns:a16="http://schemas.microsoft.com/office/drawing/2014/main" id="{00000000-0008-0000-2100-000019C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hu-HU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„B” kategóriájú hajóvezető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11</xdr:row>
          <xdr:rowOff>19050</xdr:rowOff>
        </xdr:from>
        <xdr:to>
          <xdr:col>3</xdr:col>
          <xdr:colOff>390525</xdr:colOff>
          <xdr:row>12</xdr:row>
          <xdr:rowOff>0</xdr:rowOff>
        </xdr:to>
        <xdr:sp macro="" textlink="">
          <xdr:nvSpPr>
            <xdr:cNvPr id="51226" name="Option Button 26" hidden="1">
              <a:extLst>
                <a:ext uri="{63B3BB69-23CF-44E3-9099-C40C66FF867C}">
                  <a14:compatExt spid="_x0000_s51226"/>
                </a:ext>
                <a:ext uri="{FF2B5EF4-FFF2-40B4-BE49-F238E27FC236}">
                  <a16:creationId xmlns:a16="http://schemas.microsoft.com/office/drawing/2014/main" id="{00000000-0008-0000-2100-00001AC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hu-HU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„C” kategóriájú hajóvezető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12</xdr:row>
          <xdr:rowOff>28575</xdr:rowOff>
        </xdr:from>
        <xdr:to>
          <xdr:col>3</xdr:col>
          <xdr:colOff>304800</xdr:colOff>
          <xdr:row>13</xdr:row>
          <xdr:rowOff>0</xdr:rowOff>
        </xdr:to>
        <xdr:sp macro="" textlink="">
          <xdr:nvSpPr>
            <xdr:cNvPr id="51227" name="Option Button 27" hidden="1">
              <a:extLst>
                <a:ext uri="{63B3BB69-23CF-44E3-9099-C40C66FF867C}">
                  <a14:compatExt spid="_x0000_s51227"/>
                </a:ext>
                <a:ext uri="{FF2B5EF4-FFF2-40B4-BE49-F238E27FC236}">
                  <a16:creationId xmlns:a16="http://schemas.microsoft.com/office/drawing/2014/main" id="{00000000-0008-0000-2100-00001BC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hu-HU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Szolgálati hajóvezető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13</xdr:row>
          <xdr:rowOff>19050</xdr:rowOff>
        </xdr:from>
        <xdr:to>
          <xdr:col>3</xdr:col>
          <xdr:colOff>485775</xdr:colOff>
          <xdr:row>14</xdr:row>
          <xdr:rowOff>9525</xdr:rowOff>
        </xdr:to>
        <xdr:sp macro="" textlink="">
          <xdr:nvSpPr>
            <xdr:cNvPr id="51228" name="Option Button 28" hidden="1">
              <a:extLst>
                <a:ext uri="{63B3BB69-23CF-44E3-9099-C40C66FF867C}">
                  <a14:compatExt spid="_x0000_s51228"/>
                </a:ext>
                <a:ext uri="{FF2B5EF4-FFF2-40B4-BE49-F238E27FC236}">
                  <a16:creationId xmlns:a16="http://schemas.microsoft.com/office/drawing/2014/main" id="{00000000-0008-0000-2100-00001CC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hu-HU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Hivatásos kisgéphajó vezető „A”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14</xdr:row>
          <xdr:rowOff>19050</xdr:rowOff>
        </xdr:from>
        <xdr:to>
          <xdr:col>3</xdr:col>
          <xdr:colOff>371475</xdr:colOff>
          <xdr:row>15</xdr:row>
          <xdr:rowOff>0</xdr:rowOff>
        </xdr:to>
        <xdr:sp macro="" textlink="">
          <xdr:nvSpPr>
            <xdr:cNvPr id="51229" name="Option Button 29" hidden="1">
              <a:extLst>
                <a:ext uri="{63B3BB69-23CF-44E3-9099-C40C66FF867C}">
                  <a14:compatExt spid="_x0000_s51229"/>
                </a:ext>
                <a:ext uri="{FF2B5EF4-FFF2-40B4-BE49-F238E27FC236}">
                  <a16:creationId xmlns:a16="http://schemas.microsoft.com/office/drawing/2014/main" id="{00000000-0008-0000-2100-00001DC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hu-HU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Hivatásos kisgéphajó vezető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15</xdr:row>
          <xdr:rowOff>19050</xdr:rowOff>
        </xdr:from>
        <xdr:to>
          <xdr:col>3</xdr:col>
          <xdr:colOff>504825</xdr:colOff>
          <xdr:row>16</xdr:row>
          <xdr:rowOff>0</xdr:rowOff>
        </xdr:to>
        <xdr:sp macro="" textlink="">
          <xdr:nvSpPr>
            <xdr:cNvPr id="51230" name="Option Button 30" hidden="1">
              <a:extLst>
                <a:ext uri="{63B3BB69-23CF-44E3-9099-C40C66FF867C}">
                  <a14:compatExt spid="_x0000_s51230"/>
                </a:ext>
                <a:ext uri="{FF2B5EF4-FFF2-40B4-BE49-F238E27FC236}">
                  <a16:creationId xmlns:a16="http://schemas.microsoft.com/office/drawing/2014/main" id="{00000000-0008-0000-2100-00001EC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hu-HU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Szolgálati célú kisgéphajó vezető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16</xdr:row>
          <xdr:rowOff>19050</xdr:rowOff>
        </xdr:from>
        <xdr:to>
          <xdr:col>3</xdr:col>
          <xdr:colOff>533400</xdr:colOff>
          <xdr:row>17</xdr:row>
          <xdr:rowOff>0</xdr:rowOff>
        </xdr:to>
        <xdr:sp macro="" textlink="">
          <xdr:nvSpPr>
            <xdr:cNvPr id="51231" name="Option Button 31" hidden="1">
              <a:extLst>
                <a:ext uri="{63B3BB69-23CF-44E3-9099-C40C66FF867C}">
                  <a14:compatExt spid="_x0000_s51231"/>
                </a:ext>
                <a:ext uri="{FF2B5EF4-FFF2-40B4-BE49-F238E27FC236}">
                  <a16:creationId xmlns:a16="http://schemas.microsoft.com/office/drawing/2014/main" id="{00000000-0008-0000-2100-00001FC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hu-HU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Kedvtelési célú kisgéphajó vezető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17</xdr:row>
          <xdr:rowOff>9525</xdr:rowOff>
        </xdr:from>
        <xdr:to>
          <xdr:col>3</xdr:col>
          <xdr:colOff>114300</xdr:colOff>
          <xdr:row>18</xdr:row>
          <xdr:rowOff>0</xdr:rowOff>
        </xdr:to>
        <xdr:sp macro="" textlink="">
          <xdr:nvSpPr>
            <xdr:cNvPr id="51232" name="Option Button 32" hidden="1">
              <a:extLst>
                <a:ext uri="{63B3BB69-23CF-44E3-9099-C40C66FF867C}">
                  <a14:compatExt spid="_x0000_s51232"/>
                </a:ext>
                <a:ext uri="{FF2B5EF4-FFF2-40B4-BE49-F238E27FC236}">
                  <a16:creationId xmlns:a16="http://schemas.microsoft.com/office/drawing/2014/main" id="{00000000-0008-0000-2100-000020C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hu-HU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Második fedélzeti tiszt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18</xdr:row>
          <xdr:rowOff>19050</xdr:rowOff>
        </xdr:from>
        <xdr:to>
          <xdr:col>3</xdr:col>
          <xdr:colOff>57150</xdr:colOff>
          <xdr:row>19</xdr:row>
          <xdr:rowOff>0</xdr:rowOff>
        </xdr:to>
        <xdr:sp macro="" textlink="">
          <xdr:nvSpPr>
            <xdr:cNvPr id="51233" name="Option Button 33" hidden="1">
              <a:extLst>
                <a:ext uri="{63B3BB69-23CF-44E3-9099-C40C66FF867C}">
                  <a14:compatExt spid="_x0000_s51233"/>
                </a:ext>
                <a:ext uri="{FF2B5EF4-FFF2-40B4-BE49-F238E27FC236}">
                  <a16:creationId xmlns:a16="http://schemas.microsoft.com/office/drawing/2014/main" id="{00000000-0008-0000-2100-000021C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hu-HU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Úszómunkagép vezető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19</xdr:row>
          <xdr:rowOff>28575</xdr:rowOff>
        </xdr:from>
        <xdr:to>
          <xdr:col>3</xdr:col>
          <xdr:colOff>180975</xdr:colOff>
          <xdr:row>19</xdr:row>
          <xdr:rowOff>180975</xdr:rowOff>
        </xdr:to>
        <xdr:sp macro="" textlink="">
          <xdr:nvSpPr>
            <xdr:cNvPr id="51234" name="Option Button 34" hidden="1">
              <a:extLst>
                <a:ext uri="{63B3BB69-23CF-44E3-9099-C40C66FF867C}">
                  <a14:compatExt spid="_x0000_s51234"/>
                </a:ext>
                <a:ext uri="{FF2B5EF4-FFF2-40B4-BE49-F238E27FC236}">
                  <a16:creationId xmlns:a16="http://schemas.microsoft.com/office/drawing/2014/main" id="{00000000-0008-0000-2100-000022C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hu-HU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Gépnélküli hajó vezető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20</xdr:row>
          <xdr:rowOff>28575</xdr:rowOff>
        </xdr:from>
        <xdr:to>
          <xdr:col>2</xdr:col>
          <xdr:colOff>371475</xdr:colOff>
          <xdr:row>20</xdr:row>
          <xdr:rowOff>171450</xdr:rowOff>
        </xdr:to>
        <xdr:sp macro="" textlink="">
          <xdr:nvSpPr>
            <xdr:cNvPr id="51235" name="Option Button 35" hidden="1">
              <a:extLst>
                <a:ext uri="{63B3BB69-23CF-44E3-9099-C40C66FF867C}">
                  <a14:compatExt spid="_x0000_s51235"/>
                </a:ext>
                <a:ext uri="{FF2B5EF4-FFF2-40B4-BE49-F238E27FC236}">
                  <a16:creationId xmlns:a16="http://schemas.microsoft.com/office/drawing/2014/main" id="{00000000-0008-0000-2100-000023C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hu-HU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Révész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21</xdr:row>
          <xdr:rowOff>9525</xdr:rowOff>
        </xdr:from>
        <xdr:to>
          <xdr:col>2</xdr:col>
          <xdr:colOff>209550</xdr:colOff>
          <xdr:row>21</xdr:row>
          <xdr:rowOff>180975</xdr:rowOff>
        </xdr:to>
        <xdr:sp macro="" textlink="">
          <xdr:nvSpPr>
            <xdr:cNvPr id="51236" name="Option Button 36" hidden="1">
              <a:extLst>
                <a:ext uri="{63B3BB69-23CF-44E3-9099-C40C66FF867C}">
                  <a14:compatExt spid="_x0000_s51236"/>
                </a:ext>
                <a:ext uri="{FF2B5EF4-FFF2-40B4-BE49-F238E27FC236}">
                  <a16:creationId xmlns:a16="http://schemas.microsoft.com/office/drawing/2014/main" id="{00000000-0008-0000-2100-000024C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hu-HU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Révész „A”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22</xdr:row>
          <xdr:rowOff>19050</xdr:rowOff>
        </xdr:from>
        <xdr:to>
          <xdr:col>6</xdr:col>
          <xdr:colOff>28575</xdr:colOff>
          <xdr:row>22</xdr:row>
          <xdr:rowOff>180975</xdr:rowOff>
        </xdr:to>
        <xdr:sp macro="" textlink="">
          <xdr:nvSpPr>
            <xdr:cNvPr id="51237" name="Option Button 37" hidden="1">
              <a:extLst>
                <a:ext uri="{63B3BB69-23CF-44E3-9099-C40C66FF867C}">
                  <a14:compatExt spid="_x0000_s51237"/>
                </a:ext>
                <a:ext uri="{FF2B5EF4-FFF2-40B4-BE49-F238E27FC236}">
                  <a16:creationId xmlns:a16="http://schemas.microsoft.com/office/drawing/2014/main" id="{00000000-0008-0000-2100-000025C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hu-HU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Géphajó kormányos (a vonalvizsgának megfelelő vízterületen)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23</xdr:row>
          <xdr:rowOff>9525</xdr:rowOff>
        </xdr:from>
        <xdr:to>
          <xdr:col>2</xdr:col>
          <xdr:colOff>390525</xdr:colOff>
          <xdr:row>24</xdr:row>
          <xdr:rowOff>0</xdr:rowOff>
        </xdr:to>
        <xdr:sp macro="" textlink="">
          <xdr:nvSpPr>
            <xdr:cNvPr id="51238" name="Option Button 38" hidden="1">
              <a:extLst>
                <a:ext uri="{63B3BB69-23CF-44E3-9099-C40C66FF867C}">
                  <a14:compatExt spid="_x0000_s51238"/>
                </a:ext>
                <a:ext uri="{FF2B5EF4-FFF2-40B4-BE49-F238E27FC236}">
                  <a16:creationId xmlns:a16="http://schemas.microsoft.com/office/drawing/2014/main" id="{00000000-0008-0000-2100-000026C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hu-HU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Kormányos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24</xdr:row>
          <xdr:rowOff>28575</xdr:rowOff>
        </xdr:from>
        <xdr:to>
          <xdr:col>3</xdr:col>
          <xdr:colOff>323850</xdr:colOff>
          <xdr:row>24</xdr:row>
          <xdr:rowOff>161925</xdr:rowOff>
        </xdr:to>
        <xdr:sp macro="" textlink="">
          <xdr:nvSpPr>
            <xdr:cNvPr id="51239" name="Option Button 39" hidden="1">
              <a:extLst>
                <a:ext uri="{63B3BB69-23CF-44E3-9099-C40C66FF867C}">
                  <a14:compatExt spid="_x0000_s51239"/>
                </a:ext>
                <a:ext uri="{FF2B5EF4-FFF2-40B4-BE49-F238E27FC236}">
                  <a16:creationId xmlns:a16="http://schemas.microsoft.com/office/drawing/2014/main" id="{00000000-0008-0000-2100-000027C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hu-HU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Fedélzetmester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25</xdr:row>
          <xdr:rowOff>19050</xdr:rowOff>
        </xdr:from>
        <xdr:to>
          <xdr:col>3</xdr:col>
          <xdr:colOff>85725</xdr:colOff>
          <xdr:row>25</xdr:row>
          <xdr:rowOff>180975</xdr:rowOff>
        </xdr:to>
        <xdr:sp macro="" textlink="">
          <xdr:nvSpPr>
            <xdr:cNvPr id="51240" name="Option Button 40" hidden="1">
              <a:extLst>
                <a:ext uri="{63B3BB69-23CF-44E3-9099-C40C66FF867C}">
                  <a14:compatExt spid="_x0000_s51240"/>
                </a:ext>
                <a:ext uri="{FF2B5EF4-FFF2-40B4-BE49-F238E27FC236}">
                  <a16:creationId xmlns:a16="http://schemas.microsoft.com/office/drawing/2014/main" id="{00000000-0008-0000-2100-000028C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hu-HU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Matróz-gépkezelő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26</xdr:row>
          <xdr:rowOff>19050</xdr:rowOff>
        </xdr:from>
        <xdr:to>
          <xdr:col>2</xdr:col>
          <xdr:colOff>457200</xdr:colOff>
          <xdr:row>27</xdr:row>
          <xdr:rowOff>0</xdr:rowOff>
        </xdr:to>
        <xdr:sp macro="" textlink="">
          <xdr:nvSpPr>
            <xdr:cNvPr id="51241" name="Option Button 41" hidden="1">
              <a:extLst>
                <a:ext uri="{63B3BB69-23CF-44E3-9099-C40C66FF867C}">
                  <a14:compatExt spid="_x0000_s51241"/>
                </a:ext>
                <a:ext uri="{FF2B5EF4-FFF2-40B4-BE49-F238E27FC236}">
                  <a16:creationId xmlns:a16="http://schemas.microsoft.com/office/drawing/2014/main" id="{00000000-0008-0000-2100-000029C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hu-HU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Matróz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27</xdr:row>
          <xdr:rowOff>19050</xdr:rowOff>
        </xdr:from>
        <xdr:to>
          <xdr:col>2</xdr:col>
          <xdr:colOff>571500</xdr:colOff>
          <xdr:row>27</xdr:row>
          <xdr:rowOff>180975</xdr:rowOff>
        </xdr:to>
        <xdr:sp macro="" textlink="">
          <xdr:nvSpPr>
            <xdr:cNvPr id="51242" name="Option Button 42" hidden="1">
              <a:extLst>
                <a:ext uri="{63B3BB69-23CF-44E3-9099-C40C66FF867C}">
                  <a14:compatExt spid="_x0000_s51242"/>
                </a:ext>
                <a:ext uri="{FF2B5EF4-FFF2-40B4-BE49-F238E27FC236}">
                  <a16:creationId xmlns:a16="http://schemas.microsoft.com/office/drawing/2014/main" id="{00000000-0008-0000-2100-00002AC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hu-HU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Tanulómatróz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28</xdr:row>
          <xdr:rowOff>19050</xdr:rowOff>
        </xdr:from>
        <xdr:to>
          <xdr:col>2</xdr:col>
          <xdr:colOff>495300</xdr:colOff>
          <xdr:row>28</xdr:row>
          <xdr:rowOff>180975</xdr:rowOff>
        </xdr:to>
        <xdr:sp macro="" textlink="">
          <xdr:nvSpPr>
            <xdr:cNvPr id="51243" name="Option Button 43" hidden="1">
              <a:extLst>
                <a:ext uri="{63B3BB69-23CF-44E3-9099-C40C66FF867C}">
                  <a14:compatExt spid="_x0000_s51243"/>
                </a:ext>
                <a:ext uri="{FF2B5EF4-FFF2-40B4-BE49-F238E27FC236}">
                  <a16:creationId xmlns:a16="http://schemas.microsoft.com/office/drawing/2014/main" id="{00000000-0008-0000-2100-00002BC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hu-HU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Gyakornok II.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29</xdr:row>
          <xdr:rowOff>19050</xdr:rowOff>
        </xdr:from>
        <xdr:to>
          <xdr:col>2</xdr:col>
          <xdr:colOff>371475</xdr:colOff>
          <xdr:row>29</xdr:row>
          <xdr:rowOff>171450</xdr:rowOff>
        </xdr:to>
        <xdr:sp macro="" textlink="">
          <xdr:nvSpPr>
            <xdr:cNvPr id="51244" name="Option Button 44" hidden="1">
              <a:extLst>
                <a:ext uri="{63B3BB69-23CF-44E3-9099-C40C66FF867C}">
                  <a14:compatExt spid="_x0000_s51244"/>
                </a:ext>
                <a:ext uri="{FF2B5EF4-FFF2-40B4-BE49-F238E27FC236}">
                  <a16:creationId xmlns:a16="http://schemas.microsoft.com/office/drawing/2014/main" id="{00000000-0008-0000-2100-00002CC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hu-HU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Gyakornok I.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30</xdr:row>
          <xdr:rowOff>0</xdr:rowOff>
        </xdr:from>
        <xdr:to>
          <xdr:col>2</xdr:col>
          <xdr:colOff>257175</xdr:colOff>
          <xdr:row>30</xdr:row>
          <xdr:rowOff>180975</xdr:rowOff>
        </xdr:to>
        <xdr:sp macro="" textlink="">
          <xdr:nvSpPr>
            <xdr:cNvPr id="51245" name="Option Button 45" hidden="1">
              <a:extLst>
                <a:ext uri="{63B3BB69-23CF-44E3-9099-C40C66FF867C}">
                  <a14:compatExt spid="_x0000_s51245"/>
                </a:ext>
                <a:ext uri="{FF2B5EF4-FFF2-40B4-BE49-F238E27FC236}">
                  <a16:creationId xmlns:a16="http://schemas.microsoft.com/office/drawing/2014/main" id="{00000000-0008-0000-2100-00002DC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hu-HU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Géptiszt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31</xdr:row>
          <xdr:rowOff>28575</xdr:rowOff>
        </xdr:from>
        <xdr:to>
          <xdr:col>2</xdr:col>
          <xdr:colOff>295275</xdr:colOff>
          <xdr:row>31</xdr:row>
          <xdr:rowOff>171450</xdr:rowOff>
        </xdr:to>
        <xdr:sp macro="" textlink="">
          <xdr:nvSpPr>
            <xdr:cNvPr id="51246" name="Option Button 46" hidden="1">
              <a:extLst>
                <a:ext uri="{63B3BB69-23CF-44E3-9099-C40C66FF867C}">
                  <a14:compatExt spid="_x0000_s51246"/>
                </a:ext>
                <a:ext uri="{FF2B5EF4-FFF2-40B4-BE49-F238E27FC236}">
                  <a16:creationId xmlns:a16="http://schemas.microsoft.com/office/drawing/2014/main" id="{00000000-0008-0000-2100-00002EC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hu-HU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Gépkezelő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28575</xdr:colOff>
          <xdr:row>8</xdr:row>
          <xdr:rowOff>180975</xdr:rowOff>
        </xdr:from>
        <xdr:to>
          <xdr:col>10</xdr:col>
          <xdr:colOff>381000</xdr:colOff>
          <xdr:row>10</xdr:row>
          <xdr:rowOff>0</xdr:rowOff>
        </xdr:to>
        <xdr:sp macro="" textlink="">
          <xdr:nvSpPr>
            <xdr:cNvPr id="51247" name="Option Button 47" hidden="1">
              <a:extLst>
                <a:ext uri="{63B3BB69-23CF-44E3-9099-C40C66FF867C}">
                  <a14:compatExt spid="_x0000_s51247"/>
                </a:ext>
                <a:ext uri="{FF2B5EF4-FFF2-40B4-BE49-F238E27FC236}">
                  <a16:creationId xmlns:a16="http://schemas.microsoft.com/office/drawing/2014/main" id="{00000000-0008-0000-2100-00002FC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hu-HU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„A” kategóriájú hajóvezető (vitorlás hajóra)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28575</xdr:colOff>
          <xdr:row>10</xdr:row>
          <xdr:rowOff>9525</xdr:rowOff>
        </xdr:from>
        <xdr:to>
          <xdr:col>11</xdr:col>
          <xdr:colOff>66675</xdr:colOff>
          <xdr:row>11</xdr:row>
          <xdr:rowOff>0</xdr:rowOff>
        </xdr:to>
        <xdr:sp macro="" textlink="">
          <xdr:nvSpPr>
            <xdr:cNvPr id="51248" name="Option Button 48" hidden="1">
              <a:extLst>
                <a:ext uri="{63B3BB69-23CF-44E3-9099-C40C66FF867C}">
                  <a14:compatExt spid="_x0000_s51248"/>
                </a:ext>
                <a:ext uri="{FF2B5EF4-FFF2-40B4-BE49-F238E27FC236}">
                  <a16:creationId xmlns:a16="http://schemas.microsoft.com/office/drawing/2014/main" id="{00000000-0008-0000-2100-000030C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hu-HU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„B” kategóriájú hajóvezető (vitorlás hajóra)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28575</xdr:colOff>
          <xdr:row>11</xdr:row>
          <xdr:rowOff>28575</xdr:rowOff>
        </xdr:from>
        <xdr:to>
          <xdr:col>10</xdr:col>
          <xdr:colOff>409575</xdr:colOff>
          <xdr:row>12</xdr:row>
          <xdr:rowOff>0</xdr:rowOff>
        </xdr:to>
        <xdr:sp macro="" textlink="">
          <xdr:nvSpPr>
            <xdr:cNvPr id="51249" name="Option Button 49" hidden="1">
              <a:extLst>
                <a:ext uri="{63B3BB69-23CF-44E3-9099-C40C66FF867C}">
                  <a14:compatExt spid="_x0000_s51249"/>
                </a:ext>
                <a:ext uri="{FF2B5EF4-FFF2-40B4-BE49-F238E27FC236}">
                  <a16:creationId xmlns:a16="http://schemas.microsoft.com/office/drawing/2014/main" id="{00000000-0008-0000-2100-000031C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hu-HU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„C” kategóriájú hajóvezető (vitorlás hajóra)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28575</xdr:colOff>
          <xdr:row>12</xdr:row>
          <xdr:rowOff>9525</xdr:rowOff>
        </xdr:from>
        <xdr:to>
          <xdr:col>10</xdr:col>
          <xdr:colOff>171450</xdr:colOff>
          <xdr:row>13</xdr:row>
          <xdr:rowOff>0</xdr:rowOff>
        </xdr:to>
        <xdr:sp macro="" textlink="">
          <xdr:nvSpPr>
            <xdr:cNvPr id="51250" name="Option Button 50" hidden="1">
              <a:extLst>
                <a:ext uri="{63B3BB69-23CF-44E3-9099-C40C66FF867C}">
                  <a14:compatExt spid="_x0000_s51250"/>
                </a:ext>
                <a:ext uri="{FF2B5EF4-FFF2-40B4-BE49-F238E27FC236}">
                  <a16:creationId xmlns:a16="http://schemas.microsoft.com/office/drawing/2014/main" id="{00000000-0008-0000-2100-000032C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hu-HU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Hivatásos vitorlás kishajó vezető „A”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28575</xdr:colOff>
          <xdr:row>13</xdr:row>
          <xdr:rowOff>9525</xdr:rowOff>
        </xdr:from>
        <xdr:to>
          <xdr:col>10</xdr:col>
          <xdr:colOff>47625</xdr:colOff>
          <xdr:row>14</xdr:row>
          <xdr:rowOff>0</xdr:rowOff>
        </xdr:to>
        <xdr:sp macro="" textlink="">
          <xdr:nvSpPr>
            <xdr:cNvPr id="51251" name="Option Button 51" hidden="1">
              <a:extLst>
                <a:ext uri="{63B3BB69-23CF-44E3-9099-C40C66FF867C}">
                  <a14:compatExt spid="_x0000_s51251"/>
                </a:ext>
                <a:ext uri="{FF2B5EF4-FFF2-40B4-BE49-F238E27FC236}">
                  <a16:creationId xmlns:a16="http://schemas.microsoft.com/office/drawing/2014/main" id="{00000000-0008-0000-2100-000033C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hu-HU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Hivatásos vitorlás kishajó vezető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28575</xdr:colOff>
          <xdr:row>14</xdr:row>
          <xdr:rowOff>19050</xdr:rowOff>
        </xdr:from>
        <xdr:to>
          <xdr:col>10</xdr:col>
          <xdr:colOff>133350</xdr:colOff>
          <xdr:row>15</xdr:row>
          <xdr:rowOff>9525</xdr:rowOff>
        </xdr:to>
        <xdr:sp macro="" textlink="">
          <xdr:nvSpPr>
            <xdr:cNvPr id="51252" name="Option Button 52" hidden="1">
              <a:extLst>
                <a:ext uri="{63B3BB69-23CF-44E3-9099-C40C66FF867C}">
                  <a14:compatExt spid="_x0000_s51252"/>
                </a:ext>
                <a:ext uri="{FF2B5EF4-FFF2-40B4-BE49-F238E27FC236}">
                  <a16:creationId xmlns:a16="http://schemas.microsoft.com/office/drawing/2014/main" id="{00000000-0008-0000-2100-000034C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hu-HU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Kedvtelési célú vitorlás kishajó vezető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32</xdr:row>
          <xdr:rowOff>0</xdr:rowOff>
        </xdr:from>
        <xdr:to>
          <xdr:col>3</xdr:col>
          <xdr:colOff>314325</xdr:colOff>
          <xdr:row>33</xdr:row>
          <xdr:rowOff>0</xdr:rowOff>
        </xdr:to>
        <xdr:sp macro="" textlink="">
          <xdr:nvSpPr>
            <xdr:cNvPr id="51253" name="Option Button 53" hidden="1">
              <a:extLst>
                <a:ext uri="{63B3BB69-23CF-44E3-9099-C40C66FF867C}">
                  <a14:compatExt spid="_x0000_s51253"/>
                </a:ext>
                <a:ext uri="{FF2B5EF4-FFF2-40B4-BE49-F238E27FC236}">
                  <a16:creationId xmlns:a16="http://schemas.microsoft.com/office/drawing/2014/main" id="{00000000-0008-0000-2100-000035C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hu-HU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Gépész</a:t>
              </a:r>
            </a:p>
          </xdr:txBody>
        </xdr:sp>
        <xdr:clientData/>
      </xdr:twoCellAnchor>
    </mc:Choice>
    <mc:Fallback/>
  </mc:AlternateContent>
  <xdr:twoCellAnchor>
    <xdr:from>
      <xdr:col>0</xdr:col>
      <xdr:colOff>0</xdr:colOff>
      <xdr:row>0</xdr:row>
      <xdr:rowOff>0</xdr:rowOff>
    </xdr:from>
    <xdr:to>
      <xdr:col>2</xdr:col>
      <xdr:colOff>304800</xdr:colOff>
      <xdr:row>2</xdr:row>
      <xdr:rowOff>133351</xdr:rowOff>
    </xdr:to>
    <xdr:sp macro="" textlink="">
      <xdr:nvSpPr>
        <xdr:cNvPr id="32" name="Nyíl: balra mutató 3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100-000020000000}"/>
            </a:ext>
          </a:extLst>
        </xdr:cNvPr>
        <xdr:cNvSpPr/>
      </xdr:nvSpPr>
      <xdr:spPr>
        <a:xfrm>
          <a:off x="0" y="0"/>
          <a:ext cx="1524000" cy="514351"/>
        </a:xfrm>
        <a:prstGeom prst="leftArrow">
          <a:avLst/>
        </a:prstGeom>
        <a:solidFill>
          <a:schemeClr val="bg2">
            <a:lumMod val="75000"/>
          </a:schemeClr>
        </a:solidFill>
        <a:ln>
          <a:solidFill>
            <a:sysClr val="windowText" lastClr="000000"/>
          </a:solidFill>
        </a:ln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hu-HU" sz="1100" b="1">
              <a:solidFill>
                <a:sysClr val="windowText" lastClr="000000"/>
              </a:solidFill>
            </a:rPr>
            <a:t>Vissza a kezdőlapra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8</xdr:row>
          <xdr:rowOff>171450</xdr:rowOff>
        </xdr:from>
        <xdr:to>
          <xdr:col>9</xdr:col>
          <xdr:colOff>47625</xdr:colOff>
          <xdr:row>10</xdr:row>
          <xdr:rowOff>28575</xdr:rowOff>
        </xdr:to>
        <xdr:sp macro="" textlink="">
          <xdr:nvSpPr>
            <xdr:cNvPr id="7169" name="Check Box 1" hidden="1">
              <a:extLst>
                <a:ext uri="{63B3BB69-23CF-44E3-9099-C40C66FF867C}">
                  <a14:compatExt spid="_x0000_s7169"/>
                </a:ext>
                <a:ext uri="{FF2B5EF4-FFF2-40B4-BE49-F238E27FC236}">
                  <a16:creationId xmlns:a16="http://schemas.microsoft.com/office/drawing/2014/main" id="{00000000-0008-0000-0400-00000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hu-HU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Képesített matróz képesítéssel rendelkezik</a:t>
              </a:r>
            </a:p>
          </xdr:txBody>
        </xdr:sp>
        <xdr:clientData/>
      </xdr:twoCellAnchor>
    </mc:Choice>
    <mc:Fallback/>
  </mc:AlternateContent>
  <xdr:twoCellAnchor>
    <xdr:from>
      <xdr:col>0</xdr:col>
      <xdr:colOff>0</xdr:colOff>
      <xdr:row>0</xdr:row>
      <xdr:rowOff>0</xdr:rowOff>
    </xdr:from>
    <xdr:to>
      <xdr:col>2</xdr:col>
      <xdr:colOff>304800</xdr:colOff>
      <xdr:row>2</xdr:row>
      <xdr:rowOff>133351</xdr:rowOff>
    </xdr:to>
    <xdr:sp macro="" textlink="">
      <xdr:nvSpPr>
        <xdr:cNvPr id="3" name="Nyíl: balra mutató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/>
      </xdr:nvSpPr>
      <xdr:spPr>
        <a:xfrm>
          <a:off x="0" y="0"/>
          <a:ext cx="1524000" cy="514351"/>
        </a:xfrm>
        <a:prstGeom prst="leftArrow">
          <a:avLst/>
        </a:prstGeom>
        <a:solidFill>
          <a:schemeClr val="bg2">
            <a:lumMod val="75000"/>
          </a:schemeClr>
        </a:solidFill>
        <a:ln>
          <a:solidFill>
            <a:sysClr val="windowText" lastClr="000000"/>
          </a:solidFill>
        </a:ln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hu-HU" sz="1100" b="1">
              <a:solidFill>
                <a:sysClr val="windowText" lastClr="000000"/>
              </a:solidFill>
            </a:rPr>
            <a:t>Vissza a kezdőlapra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304800</xdr:colOff>
      <xdr:row>2</xdr:row>
      <xdr:rowOff>133351</xdr:rowOff>
    </xdr:to>
    <xdr:sp macro="" textlink="">
      <xdr:nvSpPr>
        <xdr:cNvPr id="2" name="Nyíl: balra mutató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/>
      </xdr:nvSpPr>
      <xdr:spPr>
        <a:xfrm>
          <a:off x="0" y="0"/>
          <a:ext cx="1524000" cy="514351"/>
        </a:xfrm>
        <a:prstGeom prst="leftArrow">
          <a:avLst/>
        </a:prstGeom>
        <a:solidFill>
          <a:schemeClr val="bg2">
            <a:lumMod val="75000"/>
          </a:schemeClr>
        </a:solidFill>
        <a:ln>
          <a:solidFill>
            <a:sysClr val="windowText" lastClr="000000"/>
          </a:solidFill>
        </a:ln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hu-HU" sz="1100" b="1">
              <a:solidFill>
                <a:sysClr val="windowText" lastClr="000000"/>
              </a:solidFill>
            </a:rPr>
            <a:t>Vissza a kezdőlapra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57150</xdr:colOff>
          <xdr:row>9</xdr:row>
          <xdr:rowOff>152400</xdr:rowOff>
        </xdr:from>
        <xdr:to>
          <xdr:col>5</xdr:col>
          <xdr:colOff>590550</xdr:colOff>
          <xdr:row>11</xdr:row>
          <xdr:rowOff>9525</xdr:rowOff>
        </xdr:to>
        <xdr:sp macro="" textlink="">
          <xdr:nvSpPr>
            <xdr:cNvPr id="8193" name="Check Box 1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6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hu-HU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Van 2013. július 22 előtt szerzett belvízi kedvtelési célú kishajó vezetői képesítés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57150</xdr:colOff>
          <xdr:row>17</xdr:row>
          <xdr:rowOff>9525</xdr:rowOff>
        </xdr:from>
        <xdr:to>
          <xdr:col>7</xdr:col>
          <xdr:colOff>485775</xdr:colOff>
          <xdr:row>18</xdr:row>
          <xdr:rowOff>142875</xdr:rowOff>
        </xdr:to>
        <xdr:sp macro="" textlink="">
          <xdr:nvSpPr>
            <xdr:cNvPr id="8194" name="Check Box 2" hidden="1">
              <a:extLst>
                <a:ext uri="{63B3BB69-23CF-44E3-9099-C40C66FF867C}">
                  <a14:compatExt spid="_x0000_s8194"/>
                </a:ext>
                <a:ext uri="{FF2B5EF4-FFF2-40B4-BE49-F238E27FC236}">
                  <a16:creationId xmlns:a16="http://schemas.microsoft.com/office/drawing/2014/main" id="{00000000-0008-0000-0600-00000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hu-HU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Rendelkezik hajózási képesítéssel és iskolarendszerű képzésben, a vizsgatárgyból azonos, vagy magasabb szinten sikeres vizsgát tett (felmentési kérelem)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57150</xdr:colOff>
          <xdr:row>7</xdr:row>
          <xdr:rowOff>47625</xdr:rowOff>
        </xdr:from>
        <xdr:to>
          <xdr:col>5</xdr:col>
          <xdr:colOff>590550</xdr:colOff>
          <xdr:row>8</xdr:row>
          <xdr:rowOff>95250</xdr:rowOff>
        </xdr:to>
        <xdr:sp macro="" textlink="">
          <xdr:nvSpPr>
            <xdr:cNvPr id="8195" name="Check Box 3" hidden="1">
              <a:extLst>
                <a:ext uri="{63B3BB69-23CF-44E3-9099-C40C66FF867C}">
                  <a14:compatExt spid="_x0000_s8195"/>
                </a:ext>
                <a:ext uri="{FF2B5EF4-FFF2-40B4-BE49-F238E27FC236}">
                  <a16:creationId xmlns:a16="http://schemas.microsoft.com/office/drawing/2014/main" id="{00000000-0008-0000-0600-000003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hu-HU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Van hivatásos vitorlás kishajó vezetői képesítés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57150</xdr:colOff>
          <xdr:row>19</xdr:row>
          <xdr:rowOff>180975</xdr:rowOff>
        </xdr:from>
        <xdr:to>
          <xdr:col>4</xdr:col>
          <xdr:colOff>428625</xdr:colOff>
          <xdr:row>21</xdr:row>
          <xdr:rowOff>9525</xdr:rowOff>
        </xdr:to>
        <xdr:sp macro="" textlink="">
          <xdr:nvSpPr>
            <xdr:cNvPr id="8196" name="Check Box 4" hidden="1">
              <a:extLst>
                <a:ext uri="{63B3BB69-23CF-44E3-9099-C40C66FF867C}">
                  <a14:compatExt spid="_x0000_s8196"/>
                </a:ext>
                <a:ext uri="{FF2B5EF4-FFF2-40B4-BE49-F238E27FC236}">
                  <a16:creationId xmlns:a16="http://schemas.microsoft.com/office/drawing/2014/main" id="{00000000-0008-0000-0600-000004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hu-HU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Van gépész, gépkezelő vagy géptiszt képesítés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57150</xdr:colOff>
          <xdr:row>8</xdr:row>
          <xdr:rowOff>104775</xdr:rowOff>
        </xdr:from>
        <xdr:to>
          <xdr:col>5</xdr:col>
          <xdr:colOff>590550</xdr:colOff>
          <xdr:row>9</xdr:row>
          <xdr:rowOff>152400</xdr:rowOff>
        </xdr:to>
        <xdr:sp macro="" textlink="">
          <xdr:nvSpPr>
            <xdr:cNvPr id="8197" name="Check Box 5" hidden="1">
              <a:extLst>
                <a:ext uri="{63B3BB69-23CF-44E3-9099-C40C66FF867C}">
                  <a14:compatExt spid="_x0000_s8197"/>
                </a:ext>
                <a:ext uri="{FF2B5EF4-FFF2-40B4-BE49-F238E27FC236}">
                  <a16:creationId xmlns:a16="http://schemas.microsoft.com/office/drawing/2014/main" id="{00000000-0008-0000-0600-000005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hu-HU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Van géphajó kormányosi képesítés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57150</xdr:colOff>
          <xdr:row>12</xdr:row>
          <xdr:rowOff>66675</xdr:rowOff>
        </xdr:from>
        <xdr:to>
          <xdr:col>4</xdr:col>
          <xdr:colOff>314325</xdr:colOff>
          <xdr:row>13</xdr:row>
          <xdr:rowOff>95250</xdr:rowOff>
        </xdr:to>
        <xdr:sp macro="" textlink="">
          <xdr:nvSpPr>
            <xdr:cNvPr id="8198" name="Check Box 6" hidden="1">
              <a:extLst>
                <a:ext uri="{63B3BB69-23CF-44E3-9099-C40C66FF867C}">
                  <a14:compatExt spid="_x0000_s8198"/>
                </a:ext>
                <a:ext uri="{FF2B5EF4-FFF2-40B4-BE49-F238E27FC236}">
                  <a16:creationId xmlns:a16="http://schemas.microsoft.com/office/drawing/2014/main" id="{00000000-0008-0000-0600-000006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hu-HU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Van gépnélküli hajó vezető képesítés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57150</xdr:colOff>
          <xdr:row>13</xdr:row>
          <xdr:rowOff>104775</xdr:rowOff>
        </xdr:from>
        <xdr:to>
          <xdr:col>4</xdr:col>
          <xdr:colOff>314325</xdr:colOff>
          <xdr:row>14</xdr:row>
          <xdr:rowOff>133350</xdr:rowOff>
        </xdr:to>
        <xdr:sp macro="" textlink="">
          <xdr:nvSpPr>
            <xdr:cNvPr id="8199" name="Check Box 7" hidden="1">
              <a:extLst>
                <a:ext uri="{63B3BB69-23CF-44E3-9099-C40C66FF867C}">
                  <a14:compatExt spid="_x0000_s8199"/>
                </a:ext>
                <a:ext uri="{FF2B5EF4-FFF2-40B4-BE49-F238E27FC236}">
                  <a16:creationId xmlns:a16="http://schemas.microsoft.com/office/drawing/2014/main" id="{00000000-0008-0000-0600-000007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hu-HU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Van révész képesítés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57150</xdr:colOff>
          <xdr:row>14</xdr:row>
          <xdr:rowOff>133350</xdr:rowOff>
        </xdr:from>
        <xdr:to>
          <xdr:col>4</xdr:col>
          <xdr:colOff>314325</xdr:colOff>
          <xdr:row>15</xdr:row>
          <xdr:rowOff>161925</xdr:rowOff>
        </xdr:to>
        <xdr:sp macro="" textlink="">
          <xdr:nvSpPr>
            <xdr:cNvPr id="8200" name="Check Box 8" hidden="1">
              <a:extLst>
                <a:ext uri="{63B3BB69-23CF-44E3-9099-C40C66FF867C}">
                  <a14:compatExt spid="_x0000_s8200"/>
                </a:ext>
                <a:ext uri="{FF2B5EF4-FFF2-40B4-BE49-F238E27FC236}">
                  <a16:creationId xmlns:a16="http://schemas.microsoft.com/office/drawing/2014/main" id="{00000000-0008-0000-0600-000008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hu-HU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Van révész A képesítés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57150</xdr:colOff>
          <xdr:row>18</xdr:row>
          <xdr:rowOff>152400</xdr:rowOff>
        </xdr:from>
        <xdr:to>
          <xdr:col>4</xdr:col>
          <xdr:colOff>314325</xdr:colOff>
          <xdr:row>19</xdr:row>
          <xdr:rowOff>180975</xdr:rowOff>
        </xdr:to>
        <xdr:sp macro="" textlink="">
          <xdr:nvSpPr>
            <xdr:cNvPr id="8201" name="Check Box 9" hidden="1">
              <a:extLst>
                <a:ext uri="{63B3BB69-23CF-44E3-9099-C40C66FF867C}">
                  <a14:compatExt spid="_x0000_s8201"/>
                </a:ext>
                <a:ext uri="{FF2B5EF4-FFF2-40B4-BE49-F238E27FC236}">
                  <a16:creationId xmlns:a16="http://schemas.microsoft.com/office/drawing/2014/main" id="{00000000-0008-0000-0600-000009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hu-HU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Van UMG vezető képesítés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57150</xdr:colOff>
          <xdr:row>11</xdr:row>
          <xdr:rowOff>19050</xdr:rowOff>
        </xdr:from>
        <xdr:to>
          <xdr:col>5</xdr:col>
          <xdr:colOff>590550</xdr:colOff>
          <xdr:row>12</xdr:row>
          <xdr:rowOff>66675</xdr:rowOff>
        </xdr:to>
        <xdr:sp macro="" textlink="">
          <xdr:nvSpPr>
            <xdr:cNvPr id="8202" name="Check Box 10" hidden="1">
              <a:extLst>
                <a:ext uri="{63B3BB69-23CF-44E3-9099-C40C66FF867C}">
                  <a14:compatExt spid="_x0000_s8202"/>
                </a:ext>
                <a:ext uri="{FF2B5EF4-FFF2-40B4-BE49-F238E27FC236}">
                  <a16:creationId xmlns:a16="http://schemas.microsoft.com/office/drawing/2014/main" id="{00000000-0008-0000-0600-00000A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hu-HU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Van 2013. július 21 után szerzett belvízi kedvtelési célú kishajó vezetői képesítés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57150</xdr:colOff>
          <xdr:row>21</xdr:row>
          <xdr:rowOff>19050</xdr:rowOff>
        </xdr:from>
        <xdr:to>
          <xdr:col>6</xdr:col>
          <xdr:colOff>28575</xdr:colOff>
          <xdr:row>22</xdr:row>
          <xdr:rowOff>38100</xdr:rowOff>
        </xdr:to>
        <xdr:sp macro="" textlink="">
          <xdr:nvSpPr>
            <xdr:cNvPr id="8203" name="Check Box 11" hidden="1">
              <a:extLst>
                <a:ext uri="{63B3BB69-23CF-44E3-9099-C40C66FF867C}">
                  <a14:compatExt spid="_x0000_s8203"/>
                </a:ext>
                <a:ext uri="{FF2B5EF4-FFF2-40B4-BE49-F238E27FC236}">
                  <a16:creationId xmlns:a16="http://schemas.microsoft.com/office/drawing/2014/main" id="{00000000-0008-0000-0600-00000B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hu-HU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Van fedélzeti tiszti, hivatásos kisgéphajó vezető vagy annál magasabb géphajó vezető képesítés (UNIÓS kivételével)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57150</xdr:colOff>
          <xdr:row>15</xdr:row>
          <xdr:rowOff>171450</xdr:rowOff>
        </xdr:from>
        <xdr:to>
          <xdr:col>4</xdr:col>
          <xdr:colOff>314325</xdr:colOff>
          <xdr:row>17</xdr:row>
          <xdr:rowOff>9525</xdr:rowOff>
        </xdr:to>
        <xdr:sp macro="" textlink="">
          <xdr:nvSpPr>
            <xdr:cNvPr id="8204" name="Check Box 12" hidden="1">
              <a:extLst>
                <a:ext uri="{63B3BB69-23CF-44E3-9099-C40C66FF867C}">
                  <a14:compatExt spid="_x0000_s8204"/>
                </a:ext>
                <a:ext uri="{FF2B5EF4-FFF2-40B4-BE49-F238E27FC236}">
                  <a16:creationId xmlns:a16="http://schemas.microsoft.com/office/drawing/2014/main" id="{00000000-0008-0000-0600-00000C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hu-HU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Van hajózási szakképzésben szerzett képesítő bizonyítvány</a:t>
              </a:r>
            </a:p>
          </xdr:txBody>
        </xdr:sp>
        <xdr:clientData/>
      </xdr:twoCellAnchor>
    </mc:Choice>
    <mc:Fallback/>
  </mc:AlternateContent>
  <xdr:twoCellAnchor>
    <xdr:from>
      <xdr:col>0</xdr:col>
      <xdr:colOff>0</xdr:colOff>
      <xdr:row>0</xdr:row>
      <xdr:rowOff>0</xdr:rowOff>
    </xdr:from>
    <xdr:to>
      <xdr:col>2</xdr:col>
      <xdr:colOff>171450</xdr:colOff>
      <xdr:row>2</xdr:row>
      <xdr:rowOff>133351</xdr:rowOff>
    </xdr:to>
    <xdr:sp macro="" textlink="">
      <xdr:nvSpPr>
        <xdr:cNvPr id="14" name="Nyíl: balra mutató 1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600-00000E000000}"/>
            </a:ext>
          </a:extLst>
        </xdr:cNvPr>
        <xdr:cNvSpPr/>
      </xdr:nvSpPr>
      <xdr:spPr>
        <a:xfrm>
          <a:off x="0" y="0"/>
          <a:ext cx="1524000" cy="514351"/>
        </a:xfrm>
        <a:prstGeom prst="leftArrow">
          <a:avLst/>
        </a:prstGeom>
        <a:solidFill>
          <a:schemeClr val="bg2">
            <a:lumMod val="75000"/>
          </a:schemeClr>
        </a:solidFill>
        <a:ln>
          <a:solidFill>
            <a:sysClr val="windowText" lastClr="000000"/>
          </a:solidFill>
        </a:ln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hu-HU" sz="1100" b="1">
              <a:solidFill>
                <a:sysClr val="windowText" lastClr="000000"/>
              </a:solidFill>
            </a:rPr>
            <a:t>Vissza a kezdőlapra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8</xdr:row>
          <xdr:rowOff>171450</xdr:rowOff>
        </xdr:from>
        <xdr:to>
          <xdr:col>5</xdr:col>
          <xdr:colOff>600075</xdr:colOff>
          <xdr:row>10</xdr:row>
          <xdr:rowOff>28575</xdr:rowOff>
        </xdr:to>
        <xdr:sp macro="" textlink="">
          <xdr:nvSpPr>
            <xdr:cNvPr id="9217" name="Check Box 1" hidden="1">
              <a:extLst>
                <a:ext uri="{63B3BB69-23CF-44E3-9099-C40C66FF867C}">
                  <a14:compatExt spid="_x0000_s9217"/>
                </a:ext>
                <a:ext uri="{FF2B5EF4-FFF2-40B4-BE49-F238E27FC236}">
                  <a16:creationId xmlns:a16="http://schemas.microsoft.com/office/drawing/2014/main" id="{00000000-0008-0000-0700-000001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hu-HU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Van 2013. július 22 előtt szerzett belvízi kedvtelési célú kishajó vezetői képesítés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16</xdr:row>
          <xdr:rowOff>0</xdr:rowOff>
        </xdr:from>
        <xdr:to>
          <xdr:col>7</xdr:col>
          <xdr:colOff>428625</xdr:colOff>
          <xdr:row>17</xdr:row>
          <xdr:rowOff>133350</xdr:rowOff>
        </xdr:to>
        <xdr:sp macro="" textlink="">
          <xdr:nvSpPr>
            <xdr:cNvPr id="9218" name="Check Box 2" hidden="1">
              <a:extLst>
                <a:ext uri="{63B3BB69-23CF-44E3-9099-C40C66FF867C}">
                  <a14:compatExt spid="_x0000_s9218"/>
                </a:ext>
                <a:ext uri="{FF2B5EF4-FFF2-40B4-BE49-F238E27FC236}">
                  <a16:creationId xmlns:a16="http://schemas.microsoft.com/office/drawing/2014/main" id="{00000000-0008-0000-0700-000002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hu-HU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Rendelkezik hajózási képesítéssel és iskolarendszerű képzésben, a vizsgatárgyból azonos, vagy magasabb szinten sikeres vizsgát tett (felmentési kérelem)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6</xdr:row>
          <xdr:rowOff>95250</xdr:rowOff>
        </xdr:from>
        <xdr:to>
          <xdr:col>5</xdr:col>
          <xdr:colOff>600075</xdr:colOff>
          <xdr:row>7</xdr:row>
          <xdr:rowOff>142875</xdr:rowOff>
        </xdr:to>
        <xdr:sp macro="" textlink="">
          <xdr:nvSpPr>
            <xdr:cNvPr id="9219" name="Check Box 3" hidden="1">
              <a:extLst>
                <a:ext uri="{63B3BB69-23CF-44E3-9099-C40C66FF867C}">
                  <a14:compatExt spid="_x0000_s9219"/>
                </a:ext>
                <a:ext uri="{FF2B5EF4-FFF2-40B4-BE49-F238E27FC236}">
                  <a16:creationId xmlns:a16="http://schemas.microsoft.com/office/drawing/2014/main" id="{00000000-0008-0000-0700-000003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hu-HU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Van hivatásos vitorlás kishajó vezetői képesítés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18</xdr:row>
          <xdr:rowOff>180975</xdr:rowOff>
        </xdr:from>
        <xdr:to>
          <xdr:col>4</xdr:col>
          <xdr:colOff>485775</xdr:colOff>
          <xdr:row>20</xdr:row>
          <xdr:rowOff>9525</xdr:rowOff>
        </xdr:to>
        <xdr:sp macro="" textlink="">
          <xdr:nvSpPr>
            <xdr:cNvPr id="9220" name="Check Box 4" hidden="1">
              <a:extLst>
                <a:ext uri="{63B3BB69-23CF-44E3-9099-C40C66FF867C}">
                  <a14:compatExt spid="_x0000_s9220"/>
                </a:ext>
                <a:ext uri="{FF2B5EF4-FFF2-40B4-BE49-F238E27FC236}">
                  <a16:creationId xmlns:a16="http://schemas.microsoft.com/office/drawing/2014/main" id="{00000000-0008-0000-0700-000004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hu-HU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Van gépész, gépkezelő vagy géptiszt képesítés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7</xdr:row>
          <xdr:rowOff>133350</xdr:rowOff>
        </xdr:from>
        <xdr:to>
          <xdr:col>5</xdr:col>
          <xdr:colOff>600075</xdr:colOff>
          <xdr:row>8</xdr:row>
          <xdr:rowOff>180975</xdr:rowOff>
        </xdr:to>
        <xdr:sp macro="" textlink="">
          <xdr:nvSpPr>
            <xdr:cNvPr id="9221" name="Check Box 5" hidden="1">
              <a:extLst>
                <a:ext uri="{63B3BB69-23CF-44E3-9099-C40C66FF867C}">
                  <a14:compatExt spid="_x0000_s9221"/>
                </a:ext>
                <a:ext uri="{FF2B5EF4-FFF2-40B4-BE49-F238E27FC236}">
                  <a16:creationId xmlns:a16="http://schemas.microsoft.com/office/drawing/2014/main" id="{00000000-0008-0000-0700-000005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hu-HU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Van géphajó kormányosi képesítés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11</xdr:row>
          <xdr:rowOff>47625</xdr:rowOff>
        </xdr:from>
        <xdr:to>
          <xdr:col>4</xdr:col>
          <xdr:colOff>371475</xdr:colOff>
          <xdr:row>12</xdr:row>
          <xdr:rowOff>76200</xdr:rowOff>
        </xdr:to>
        <xdr:sp macro="" textlink="">
          <xdr:nvSpPr>
            <xdr:cNvPr id="9222" name="Check Box 6" hidden="1">
              <a:extLst>
                <a:ext uri="{63B3BB69-23CF-44E3-9099-C40C66FF867C}">
                  <a14:compatExt spid="_x0000_s9222"/>
                </a:ext>
                <a:ext uri="{FF2B5EF4-FFF2-40B4-BE49-F238E27FC236}">
                  <a16:creationId xmlns:a16="http://schemas.microsoft.com/office/drawing/2014/main" id="{00000000-0008-0000-0700-000006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hu-HU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Van gépnélküli hajó vezető képesítés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12</xdr:row>
          <xdr:rowOff>76200</xdr:rowOff>
        </xdr:from>
        <xdr:to>
          <xdr:col>4</xdr:col>
          <xdr:colOff>371475</xdr:colOff>
          <xdr:row>13</xdr:row>
          <xdr:rowOff>104775</xdr:rowOff>
        </xdr:to>
        <xdr:sp macro="" textlink="">
          <xdr:nvSpPr>
            <xdr:cNvPr id="9223" name="Check Box 7" hidden="1">
              <a:extLst>
                <a:ext uri="{63B3BB69-23CF-44E3-9099-C40C66FF867C}">
                  <a14:compatExt spid="_x0000_s9223"/>
                </a:ext>
                <a:ext uri="{FF2B5EF4-FFF2-40B4-BE49-F238E27FC236}">
                  <a16:creationId xmlns:a16="http://schemas.microsoft.com/office/drawing/2014/main" id="{00000000-0008-0000-0700-000007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hu-HU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Van révész képesítés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13</xdr:row>
          <xdr:rowOff>123825</xdr:rowOff>
        </xdr:from>
        <xdr:to>
          <xdr:col>4</xdr:col>
          <xdr:colOff>371475</xdr:colOff>
          <xdr:row>14</xdr:row>
          <xdr:rowOff>152400</xdr:rowOff>
        </xdr:to>
        <xdr:sp macro="" textlink="">
          <xdr:nvSpPr>
            <xdr:cNvPr id="9224" name="Check Box 8" hidden="1">
              <a:extLst>
                <a:ext uri="{63B3BB69-23CF-44E3-9099-C40C66FF867C}">
                  <a14:compatExt spid="_x0000_s9224"/>
                </a:ext>
                <a:ext uri="{FF2B5EF4-FFF2-40B4-BE49-F238E27FC236}">
                  <a16:creationId xmlns:a16="http://schemas.microsoft.com/office/drawing/2014/main" id="{00000000-0008-0000-0700-000008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hu-HU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Van révész A képesítés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17</xdr:row>
          <xdr:rowOff>114300</xdr:rowOff>
        </xdr:from>
        <xdr:to>
          <xdr:col>4</xdr:col>
          <xdr:colOff>371475</xdr:colOff>
          <xdr:row>18</xdr:row>
          <xdr:rowOff>142875</xdr:rowOff>
        </xdr:to>
        <xdr:sp macro="" textlink="">
          <xdr:nvSpPr>
            <xdr:cNvPr id="9225" name="Check Box 9" hidden="1">
              <a:extLst>
                <a:ext uri="{63B3BB69-23CF-44E3-9099-C40C66FF867C}">
                  <a14:compatExt spid="_x0000_s9225"/>
                </a:ext>
                <a:ext uri="{FF2B5EF4-FFF2-40B4-BE49-F238E27FC236}">
                  <a16:creationId xmlns:a16="http://schemas.microsoft.com/office/drawing/2014/main" id="{00000000-0008-0000-0700-000009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hu-HU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Van UMG vezető képesítés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10</xdr:row>
          <xdr:rowOff>9525</xdr:rowOff>
        </xdr:from>
        <xdr:to>
          <xdr:col>5</xdr:col>
          <xdr:colOff>600075</xdr:colOff>
          <xdr:row>11</xdr:row>
          <xdr:rowOff>57150</xdr:rowOff>
        </xdr:to>
        <xdr:sp macro="" textlink="">
          <xdr:nvSpPr>
            <xdr:cNvPr id="9226" name="Check Box 10" hidden="1">
              <a:extLst>
                <a:ext uri="{63B3BB69-23CF-44E3-9099-C40C66FF867C}">
                  <a14:compatExt spid="_x0000_s9226"/>
                </a:ext>
                <a:ext uri="{FF2B5EF4-FFF2-40B4-BE49-F238E27FC236}">
                  <a16:creationId xmlns:a16="http://schemas.microsoft.com/office/drawing/2014/main" id="{00000000-0008-0000-0700-00000A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hu-HU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Van 2013. július 21 után szerzett belvízi kedvtelési célú kishajó vezetői képesítés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20</xdr:row>
          <xdr:rowOff>28575</xdr:rowOff>
        </xdr:from>
        <xdr:to>
          <xdr:col>6</xdr:col>
          <xdr:colOff>0</xdr:colOff>
          <xdr:row>21</xdr:row>
          <xdr:rowOff>47625</xdr:rowOff>
        </xdr:to>
        <xdr:sp macro="" textlink="">
          <xdr:nvSpPr>
            <xdr:cNvPr id="9227" name="Check Box 11" hidden="1">
              <a:extLst>
                <a:ext uri="{63B3BB69-23CF-44E3-9099-C40C66FF867C}">
                  <a14:compatExt spid="_x0000_s9227"/>
                </a:ext>
                <a:ext uri="{FF2B5EF4-FFF2-40B4-BE49-F238E27FC236}">
                  <a16:creationId xmlns:a16="http://schemas.microsoft.com/office/drawing/2014/main" id="{00000000-0008-0000-0700-00000B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hu-HU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Van fedélzeti tiszti, hivatásos kisgéphajó vezető vagy annál magasabb géphajó vezető képesítés (UNIÓS kivételével)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14</xdr:row>
          <xdr:rowOff>171450</xdr:rowOff>
        </xdr:from>
        <xdr:to>
          <xdr:col>4</xdr:col>
          <xdr:colOff>371475</xdr:colOff>
          <xdr:row>16</xdr:row>
          <xdr:rowOff>9525</xdr:rowOff>
        </xdr:to>
        <xdr:sp macro="" textlink="">
          <xdr:nvSpPr>
            <xdr:cNvPr id="9228" name="Check Box 12" hidden="1">
              <a:extLst>
                <a:ext uri="{63B3BB69-23CF-44E3-9099-C40C66FF867C}">
                  <a14:compatExt spid="_x0000_s9228"/>
                </a:ext>
                <a:ext uri="{FF2B5EF4-FFF2-40B4-BE49-F238E27FC236}">
                  <a16:creationId xmlns:a16="http://schemas.microsoft.com/office/drawing/2014/main" id="{00000000-0008-0000-0700-00000C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hu-HU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Van hajózási szakképzésben szerzett képesítő bizonyítvány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21</xdr:row>
          <xdr:rowOff>76200</xdr:rowOff>
        </xdr:from>
        <xdr:to>
          <xdr:col>6</xdr:col>
          <xdr:colOff>0</xdr:colOff>
          <xdr:row>22</xdr:row>
          <xdr:rowOff>95250</xdr:rowOff>
        </xdr:to>
        <xdr:sp macro="" textlink="">
          <xdr:nvSpPr>
            <xdr:cNvPr id="9229" name="Check Box 13" hidden="1">
              <a:extLst>
                <a:ext uri="{63B3BB69-23CF-44E3-9099-C40C66FF867C}">
                  <a14:compatExt spid="_x0000_s9229"/>
                </a:ext>
                <a:ext uri="{FF2B5EF4-FFF2-40B4-BE49-F238E27FC236}">
                  <a16:creationId xmlns:a16="http://schemas.microsoft.com/office/drawing/2014/main" id="{00000000-0008-0000-0700-00000D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hu-HU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Van szolgálati célú kisgéphajó vezető képesítés</a:t>
              </a:r>
            </a:p>
          </xdr:txBody>
        </xdr:sp>
        <xdr:clientData/>
      </xdr:twoCellAnchor>
    </mc:Choice>
    <mc:Fallback/>
  </mc:AlternateContent>
  <xdr:twoCellAnchor>
    <xdr:from>
      <xdr:col>0</xdr:col>
      <xdr:colOff>0</xdr:colOff>
      <xdr:row>0</xdr:row>
      <xdr:rowOff>0</xdr:rowOff>
    </xdr:from>
    <xdr:to>
      <xdr:col>1</xdr:col>
      <xdr:colOff>1133475</xdr:colOff>
      <xdr:row>2</xdr:row>
      <xdr:rowOff>133351</xdr:rowOff>
    </xdr:to>
    <xdr:sp macro="" textlink="">
      <xdr:nvSpPr>
        <xdr:cNvPr id="15" name="Nyíl: balra mutató 1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700-00000F000000}"/>
            </a:ext>
          </a:extLst>
        </xdr:cNvPr>
        <xdr:cNvSpPr/>
      </xdr:nvSpPr>
      <xdr:spPr>
        <a:xfrm>
          <a:off x="0" y="0"/>
          <a:ext cx="1524000" cy="514351"/>
        </a:xfrm>
        <a:prstGeom prst="leftArrow">
          <a:avLst/>
        </a:prstGeom>
        <a:solidFill>
          <a:schemeClr val="bg2">
            <a:lumMod val="75000"/>
          </a:schemeClr>
        </a:solidFill>
        <a:ln>
          <a:solidFill>
            <a:sysClr val="windowText" lastClr="000000"/>
          </a:solidFill>
        </a:ln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hu-HU" sz="1100" b="1">
              <a:solidFill>
                <a:sysClr val="windowText" lastClr="000000"/>
              </a:solidFill>
            </a:rPr>
            <a:t>Vissza a kezdőlapra</a:t>
          </a: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57150</xdr:colOff>
          <xdr:row>8</xdr:row>
          <xdr:rowOff>85725</xdr:rowOff>
        </xdr:from>
        <xdr:to>
          <xdr:col>5</xdr:col>
          <xdr:colOff>542925</xdr:colOff>
          <xdr:row>9</xdr:row>
          <xdr:rowOff>133350</xdr:rowOff>
        </xdr:to>
        <xdr:sp macro="" textlink="">
          <xdr:nvSpPr>
            <xdr:cNvPr id="11279" name="Check Box 15" hidden="1">
              <a:extLst>
                <a:ext uri="{63B3BB69-23CF-44E3-9099-C40C66FF867C}">
                  <a14:compatExt spid="_x0000_s11279"/>
                </a:ext>
                <a:ext uri="{FF2B5EF4-FFF2-40B4-BE49-F238E27FC236}">
                  <a16:creationId xmlns:a16="http://schemas.microsoft.com/office/drawing/2014/main" id="{00000000-0008-0000-0800-00000F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hu-HU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Van 2013. július 22 előtt szerzett belvízi kedvtelési célú kisgéphajó vezetői képesítés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57150</xdr:colOff>
          <xdr:row>13</xdr:row>
          <xdr:rowOff>123825</xdr:rowOff>
        </xdr:from>
        <xdr:to>
          <xdr:col>4</xdr:col>
          <xdr:colOff>333375</xdr:colOff>
          <xdr:row>14</xdr:row>
          <xdr:rowOff>152400</xdr:rowOff>
        </xdr:to>
        <xdr:sp macro="" textlink="">
          <xdr:nvSpPr>
            <xdr:cNvPr id="11280" name="Check Box 16" hidden="1">
              <a:extLst>
                <a:ext uri="{63B3BB69-23CF-44E3-9099-C40C66FF867C}">
                  <a14:compatExt spid="_x0000_s11280"/>
                </a:ext>
                <a:ext uri="{FF2B5EF4-FFF2-40B4-BE49-F238E27FC236}">
                  <a16:creationId xmlns:a16="http://schemas.microsoft.com/office/drawing/2014/main" id="{00000000-0008-0000-0800-000010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hu-HU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Van szolgálati célú kisgéphajó vezető képesítés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57150</xdr:colOff>
          <xdr:row>17</xdr:row>
          <xdr:rowOff>57150</xdr:rowOff>
        </xdr:from>
        <xdr:to>
          <xdr:col>6</xdr:col>
          <xdr:colOff>285750</xdr:colOff>
          <xdr:row>18</xdr:row>
          <xdr:rowOff>152400</xdr:rowOff>
        </xdr:to>
        <xdr:sp macro="" textlink="">
          <xdr:nvSpPr>
            <xdr:cNvPr id="11281" name="Check Box 17" hidden="1">
              <a:extLst>
                <a:ext uri="{63B3BB69-23CF-44E3-9099-C40C66FF867C}">
                  <a14:compatExt spid="_x0000_s11281"/>
                </a:ext>
                <a:ext uri="{FF2B5EF4-FFF2-40B4-BE49-F238E27FC236}">
                  <a16:creationId xmlns:a16="http://schemas.microsoft.com/office/drawing/2014/main" id="{00000000-0008-0000-0800-000011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hu-HU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Van hajózási szakképzésben szerzett képesítő bizonyítvány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57150</xdr:colOff>
          <xdr:row>6</xdr:row>
          <xdr:rowOff>19050</xdr:rowOff>
        </xdr:from>
        <xdr:to>
          <xdr:col>6</xdr:col>
          <xdr:colOff>295275</xdr:colOff>
          <xdr:row>7</xdr:row>
          <xdr:rowOff>9525</xdr:rowOff>
        </xdr:to>
        <xdr:sp macro="" textlink="">
          <xdr:nvSpPr>
            <xdr:cNvPr id="11282" name="Check Box 18" hidden="1">
              <a:extLst>
                <a:ext uri="{63B3BB69-23CF-44E3-9099-C40C66FF867C}">
                  <a14:compatExt spid="_x0000_s11282"/>
                </a:ext>
                <a:ext uri="{FF2B5EF4-FFF2-40B4-BE49-F238E27FC236}">
                  <a16:creationId xmlns:a16="http://schemas.microsoft.com/office/drawing/2014/main" id="{00000000-0008-0000-0800-000012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hu-HU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Van hivatásos  kisgéphajó vezető vagy annál magasabb szintű géphajóvezetői képesítés (UNIÓs kivételével)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57150</xdr:colOff>
          <xdr:row>22</xdr:row>
          <xdr:rowOff>9525</xdr:rowOff>
        </xdr:from>
        <xdr:to>
          <xdr:col>4</xdr:col>
          <xdr:colOff>447675</xdr:colOff>
          <xdr:row>23</xdr:row>
          <xdr:rowOff>28575</xdr:rowOff>
        </xdr:to>
        <xdr:sp macro="" textlink="">
          <xdr:nvSpPr>
            <xdr:cNvPr id="11283" name="Check Box 19" hidden="1">
              <a:extLst>
                <a:ext uri="{63B3BB69-23CF-44E3-9099-C40C66FF867C}">
                  <a14:compatExt spid="_x0000_s11283"/>
                </a:ext>
                <a:ext uri="{FF2B5EF4-FFF2-40B4-BE49-F238E27FC236}">
                  <a16:creationId xmlns:a16="http://schemas.microsoft.com/office/drawing/2014/main" id="{00000000-0008-0000-0800-000013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hu-HU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Van gépész, gépkezelő vagy géptiszt képesítés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57150</xdr:colOff>
          <xdr:row>11</xdr:row>
          <xdr:rowOff>19050</xdr:rowOff>
        </xdr:from>
        <xdr:to>
          <xdr:col>5</xdr:col>
          <xdr:colOff>542925</xdr:colOff>
          <xdr:row>12</xdr:row>
          <xdr:rowOff>66675</xdr:rowOff>
        </xdr:to>
        <xdr:sp macro="" textlink="">
          <xdr:nvSpPr>
            <xdr:cNvPr id="11284" name="Check Box 20" hidden="1">
              <a:extLst>
                <a:ext uri="{63B3BB69-23CF-44E3-9099-C40C66FF867C}">
                  <a14:compatExt spid="_x0000_s11284"/>
                </a:ext>
                <a:ext uri="{FF2B5EF4-FFF2-40B4-BE49-F238E27FC236}">
                  <a16:creationId xmlns:a16="http://schemas.microsoft.com/office/drawing/2014/main" id="{00000000-0008-0000-0800-000014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hu-HU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Van 2013. július 22 előtt szerzett belvízi kedvtelési célú vitorlás kishajó vezetői képesítés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57150</xdr:colOff>
          <xdr:row>9</xdr:row>
          <xdr:rowOff>142875</xdr:rowOff>
        </xdr:from>
        <xdr:to>
          <xdr:col>5</xdr:col>
          <xdr:colOff>542925</xdr:colOff>
          <xdr:row>11</xdr:row>
          <xdr:rowOff>0</xdr:rowOff>
        </xdr:to>
        <xdr:sp macro="" textlink="">
          <xdr:nvSpPr>
            <xdr:cNvPr id="11285" name="Check Box 21" hidden="1">
              <a:extLst>
                <a:ext uri="{63B3BB69-23CF-44E3-9099-C40C66FF867C}">
                  <a14:compatExt spid="_x0000_s11285"/>
                </a:ext>
                <a:ext uri="{FF2B5EF4-FFF2-40B4-BE49-F238E27FC236}">
                  <a16:creationId xmlns:a16="http://schemas.microsoft.com/office/drawing/2014/main" id="{00000000-0008-0000-0800-000015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hu-HU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Van 2013. július 21 után szerzett belvízi kedvtelési célú kisgéphajó vagy vitorlás kishajó vezetői képesítés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57150</xdr:colOff>
          <xdr:row>7</xdr:row>
          <xdr:rowOff>19050</xdr:rowOff>
        </xdr:from>
        <xdr:to>
          <xdr:col>5</xdr:col>
          <xdr:colOff>542925</xdr:colOff>
          <xdr:row>8</xdr:row>
          <xdr:rowOff>66675</xdr:rowOff>
        </xdr:to>
        <xdr:sp macro="" textlink="">
          <xdr:nvSpPr>
            <xdr:cNvPr id="11286" name="Check Box 22" hidden="1">
              <a:extLst>
                <a:ext uri="{63B3BB69-23CF-44E3-9099-C40C66FF867C}">
                  <a14:compatExt spid="_x0000_s11286"/>
                </a:ext>
                <a:ext uri="{FF2B5EF4-FFF2-40B4-BE49-F238E27FC236}">
                  <a16:creationId xmlns:a16="http://schemas.microsoft.com/office/drawing/2014/main" id="{00000000-0008-0000-0800-000016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hu-HU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Van géphajó kormányosi képesítés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57150</xdr:colOff>
          <xdr:row>12</xdr:row>
          <xdr:rowOff>76200</xdr:rowOff>
        </xdr:from>
        <xdr:to>
          <xdr:col>4</xdr:col>
          <xdr:colOff>333375</xdr:colOff>
          <xdr:row>13</xdr:row>
          <xdr:rowOff>104775</xdr:rowOff>
        </xdr:to>
        <xdr:sp macro="" textlink="">
          <xdr:nvSpPr>
            <xdr:cNvPr id="11287" name="Check Box 23" hidden="1">
              <a:extLst>
                <a:ext uri="{63B3BB69-23CF-44E3-9099-C40C66FF867C}">
                  <a14:compatExt spid="_x0000_s11287"/>
                </a:ext>
                <a:ext uri="{FF2B5EF4-FFF2-40B4-BE49-F238E27FC236}">
                  <a16:creationId xmlns:a16="http://schemas.microsoft.com/office/drawing/2014/main" id="{00000000-0008-0000-0800-000017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hu-HU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Van gépnélküli hajó vezető képesítés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57150</xdr:colOff>
          <xdr:row>14</xdr:row>
          <xdr:rowOff>161925</xdr:rowOff>
        </xdr:from>
        <xdr:to>
          <xdr:col>4</xdr:col>
          <xdr:colOff>333375</xdr:colOff>
          <xdr:row>16</xdr:row>
          <xdr:rowOff>0</xdr:rowOff>
        </xdr:to>
        <xdr:sp macro="" textlink="">
          <xdr:nvSpPr>
            <xdr:cNvPr id="11288" name="Check Box 24" hidden="1">
              <a:extLst>
                <a:ext uri="{63B3BB69-23CF-44E3-9099-C40C66FF867C}">
                  <a14:compatExt spid="_x0000_s11288"/>
                </a:ext>
                <a:ext uri="{FF2B5EF4-FFF2-40B4-BE49-F238E27FC236}">
                  <a16:creationId xmlns:a16="http://schemas.microsoft.com/office/drawing/2014/main" id="{00000000-0008-0000-0800-000018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hu-HU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Van révész képesítés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57150</xdr:colOff>
          <xdr:row>16</xdr:row>
          <xdr:rowOff>19050</xdr:rowOff>
        </xdr:from>
        <xdr:to>
          <xdr:col>4</xdr:col>
          <xdr:colOff>333375</xdr:colOff>
          <xdr:row>17</xdr:row>
          <xdr:rowOff>47625</xdr:rowOff>
        </xdr:to>
        <xdr:sp macro="" textlink="">
          <xdr:nvSpPr>
            <xdr:cNvPr id="11289" name="Check Box 25" hidden="1">
              <a:extLst>
                <a:ext uri="{63B3BB69-23CF-44E3-9099-C40C66FF867C}">
                  <a14:compatExt spid="_x0000_s11289"/>
                </a:ext>
                <a:ext uri="{FF2B5EF4-FFF2-40B4-BE49-F238E27FC236}">
                  <a16:creationId xmlns:a16="http://schemas.microsoft.com/office/drawing/2014/main" id="{00000000-0008-0000-0800-000019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hu-HU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Van révész A képesítés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57150</xdr:colOff>
          <xdr:row>23</xdr:row>
          <xdr:rowOff>38100</xdr:rowOff>
        </xdr:from>
        <xdr:to>
          <xdr:col>4</xdr:col>
          <xdr:colOff>333375</xdr:colOff>
          <xdr:row>24</xdr:row>
          <xdr:rowOff>66675</xdr:rowOff>
        </xdr:to>
        <xdr:sp macro="" textlink="">
          <xdr:nvSpPr>
            <xdr:cNvPr id="11290" name="Check Box 26" hidden="1">
              <a:extLst>
                <a:ext uri="{63B3BB69-23CF-44E3-9099-C40C66FF867C}">
                  <a14:compatExt spid="_x0000_s11290"/>
                </a:ext>
                <a:ext uri="{FF2B5EF4-FFF2-40B4-BE49-F238E27FC236}">
                  <a16:creationId xmlns:a16="http://schemas.microsoft.com/office/drawing/2014/main" id="{00000000-0008-0000-0800-00001A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hu-HU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Van UMG vezető képesítés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57150</xdr:colOff>
          <xdr:row>20</xdr:row>
          <xdr:rowOff>85725</xdr:rowOff>
        </xdr:from>
        <xdr:to>
          <xdr:col>6</xdr:col>
          <xdr:colOff>285750</xdr:colOff>
          <xdr:row>21</xdr:row>
          <xdr:rowOff>180975</xdr:rowOff>
        </xdr:to>
        <xdr:sp macro="" textlink="">
          <xdr:nvSpPr>
            <xdr:cNvPr id="11291" name="Check Box 27" hidden="1">
              <a:extLst>
                <a:ext uri="{63B3BB69-23CF-44E3-9099-C40C66FF867C}">
                  <a14:compatExt spid="_x0000_s11291"/>
                </a:ext>
                <a:ext uri="{FF2B5EF4-FFF2-40B4-BE49-F238E27FC236}">
                  <a16:creationId xmlns:a16="http://schemas.microsoft.com/office/drawing/2014/main" id="{00000000-0008-0000-0800-00001B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hu-HU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Van vitorlás nagyhajóvezető képesítés (UNIÓS kivételével)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57150</xdr:colOff>
          <xdr:row>18</xdr:row>
          <xdr:rowOff>171450</xdr:rowOff>
        </xdr:from>
        <xdr:to>
          <xdr:col>7</xdr:col>
          <xdr:colOff>409575</xdr:colOff>
          <xdr:row>20</xdr:row>
          <xdr:rowOff>76200</xdr:rowOff>
        </xdr:to>
        <xdr:sp macro="" textlink="">
          <xdr:nvSpPr>
            <xdr:cNvPr id="11292" name="Check Box 28" hidden="1">
              <a:extLst>
                <a:ext uri="{63B3BB69-23CF-44E3-9099-C40C66FF867C}">
                  <a14:compatExt spid="_x0000_s11292"/>
                </a:ext>
                <a:ext uri="{FF2B5EF4-FFF2-40B4-BE49-F238E27FC236}">
                  <a16:creationId xmlns:a16="http://schemas.microsoft.com/office/drawing/2014/main" id="{00000000-0008-0000-0800-00001C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hu-HU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Rendelkezik hajózási képesítéssel és iskolarendszerű képzésben, a vizsgatárgyból azonos, vagy magasabb szinten sikeres vizsgát tett (felmentési kérelem)</a:t>
              </a:r>
            </a:p>
          </xdr:txBody>
        </xdr:sp>
        <xdr:clientData/>
      </xdr:twoCellAnchor>
    </mc:Choice>
    <mc:Fallback/>
  </mc:AlternateContent>
  <xdr:twoCellAnchor>
    <xdr:from>
      <xdr:col>0</xdr:col>
      <xdr:colOff>0</xdr:colOff>
      <xdr:row>0</xdr:row>
      <xdr:rowOff>0</xdr:rowOff>
    </xdr:from>
    <xdr:to>
      <xdr:col>2</xdr:col>
      <xdr:colOff>180975</xdr:colOff>
      <xdr:row>2</xdr:row>
      <xdr:rowOff>66675</xdr:rowOff>
    </xdr:to>
    <xdr:sp macro="" textlink="">
      <xdr:nvSpPr>
        <xdr:cNvPr id="16" name="Nyíl: balra mutató 1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800-000010000000}"/>
            </a:ext>
          </a:extLst>
        </xdr:cNvPr>
        <xdr:cNvSpPr/>
      </xdr:nvSpPr>
      <xdr:spPr>
        <a:xfrm>
          <a:off x="0" y="0"/>
          <a:ext cx="1524000" cy="447675"/>
        </a:xfrm>
        <a:prstGeom prst="leftArrow">
          <a:avLst/>
        </a:prstGeom>
        <a:solidFill>
          <a:schemeClr val="bg2">
            <a:lumMod val="75000"/>
          </a:schemeClr>
        </a:solidFill>
        <a:ln>
          <a:solidFill>
            <a:sysClr val="windowText" lastClr="000000"/>
          </a:solidFill>
        </a:ln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hu-HU" sz="1100" b="1">
              <a:solidFill>
                <a:sysClr val="windowText" lastClr="000000"/>
              </a:solidFill>
            </a:rPr>
            <a:t>Vissza a kezdőlapra</a:t>
          </a: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57150</xdr:colOff>
          <xdr:row>9</xdr:row>
          <xdr:rowOff>47625</xdr:rowOff>
        </xdr:from>
        <xdr:to>
          <xdr:col>5</xdr:col>
          <xdr:colOff>828675</xdr:colOff>
          <xdr:row>10</xdr:row>
          <xdr:rowOff>95250</xdr:rowOff>
        </xdr:to>
        <xdr:sp macro="" textlink="">
          <xdr:nvSpPr>
            <xdr:cNvPr id="12289" name="Check Box 1" hidden="1">
              <a:extLst>
                <a:ext uri="{63B3BB69-23CF-44E3-9099-C40C66FF867C}">
                  <a14:compatExt spid="_x0000_s12289"/>
                </a:ext>
                <a:ext uri="{FF2B5EF4-FFF2-40B4-BE49-F238E27FC236}">
                  <a16:creationId xmlns:a16="http://schemas.microsoft.com/office/drawing/2014/main" id="{00000000-0008-0000-0900-000001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hu-HU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Van 2013. július 22 előtt szerzett belvízi kedvtelési célú kishajó vezetői képesítés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57150</xdr:colOff>
          <xdr:row>12</xdr:row>
          <xdr:rowOff>66675</xdr:rowOff>
        </xdr:from>
        <xdr:to>
          <xdr:col>4</xdr:col>
          <xdr:colOff>533400</xdr:colOff>
          <xdr:row>13</xdr:row>
          <xdr:rowOff>95250</xdr:rowOff>
        </xdr:to>
        <xdr:sp macro="" textlink="">
          <xdr:nvSpPr>
            <xdr:cNvPr id="12290" name="Check Box 2" hidden="1">
              <a:extLst>
                <a:ext uri="{63B3BB69-23CF-44E3-9099-C40C66FF867C}">
                  <a14:compatExt spid="_x0000_s12290"/>
                </a:ext>
                <a:ext uri="{FF2B5EF4-FFF2-40B4-BE49-F238E27FC236}">
                  <a16:creationId xmlns:a16="http://schemas.microsoft.com/office/drawing/2014/main" id="{00000000-0008-0000-0900-000002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hu-HU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Van révész képesítés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57150</xdr:colOff>
          <xdr:row>15</xdr:row>
          <xdr:rowOff>66675</xdr:rowOff>
        </xdr:from>
        <xdr:to>
          <xdr:col>4</xdr:col>
          <xdr:colOff>647700</xdr:colOff>
          <xdr:row>16</xdr:row>
          <xdr:rowOff>85725</xdr:rowOff>
        </xdr:to>
        <xdr:sp macro="" textlink="">
          <xdr:nvSpPr>
            <xdr:cNvPr id="12291" name="Check Box 3" hidden="1">
              <a:extLst>
                <a:ext uri="{63B3BB69-23CF-44E3-9099-C40C66FF867C}">
                  <a14:compatExt spid="_x0000_s12291"/>
                </a:ext>
                <a:ext uri="{FF2B5EF4-FFF2-40B4-BE49-F238E27FC236}">
                  <a16:creationId xmlns:a16="http://schemas.microsoft.com/office/drawing/2014/main" id="{00000000-0008-0000-0900-000003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hu-HU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Van hajózási szakképzésben szerzett képesítő bizonyítvány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57150</xdr:colOff>
          <xdr:row>6</xdr:row>
          <xdr:rowOff>47625</xdr:rowOff>
        </xdr:from>
        <xdr:to>
          <xdr:col>8</xdr:col>
          <xdr:colOff>9525</xdr:colOff>
          <xdr:row>7</xdr:row>
          <xdr:rowOff>57150</xdr:rowOff>
        </xdr:to>
        <xdr:sp macro="" textlink="">
          <xdr:nvSpPr>
            <xdr:cNvPr id="12292" name="Check Box 4" hidden="1">
              <a:extLst>
                <a:ext uri="{63B3BB69-23CF-44E3-9099-C40C66FF867C}">
                  <a14:compatExt spid="_x0000_s12292"/>
                </a:ext>
                <a:ext uri="{FF2B5EF4-FFF2-40B4-BE49-F238E27FC236}">
                  <a16:creationId xmlns:a16="http://schemas.microsoft.com/office/drawing/2014/main" id="{00000000-0008-0000-0900-000004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hu-HU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Van fedélzeti tiszti, szolgálati célú kishajó vezető vagy hivatásos kishajó vezetői vagy annál magasabb szintű hajóvezető képesítés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57150</xdr:colOff>
          <xdr:row>16</xdr:row>
          <xdr:rowOff>152400</xdr:rowOff>
        </xdr:from>
        <xdr:to>
          <xdr:col>4</xdr:col>
          <xdr:colOff>647700</xdr:colOff>
          <xdr:row>17</xdr:row>
          <xdr:rowOff>171450</xdr:rowOff>
        </xdr:to>
        <xdr:sp macro="" textlink="">
          <xdr:nvSpPr>
            <xdr:cNvPr id="12293" name="Check Box 5" hidden="1">
              <a:extLst>
                <a:ext uri="{63B3BB69-23CF-44E3-9099-C40C66FF867C}">
                  <a14:compatExt spid="_x0000_s12293"/>
                </a:ext>
                <a:ext uri="{FF2B5EF4-FFF2-40B4-BE49-F238E27FC236}">
                  <a16:creationId xmlns:a16="http://schemas.microsoft.com/office/drawing/2014/main" id="{00000000-0008-0000-0900-000005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hu-HU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Van gépész, gépkezelő vagy géptiszt képesítés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57150</xdr:colOff>
          <xdr:row>7</xdr:row>
          <xdr:rowOff>123825</xdr:rowOff>
        </xdr:from>
        <xdr:to>
          <xdr:col>5</xdr:col>
          <xdr:colOff>828675</xdr:colOff>
          <xdr:row>8</xdr:row>
          <xdr:rowOff>171450</xdr:rowOff>
        </xdr:to>
        <xdr:sp macro="" textlink="">
          <xdr:nvSpPr>
            <xdr:cNvPr id="12294" name="Check Box 6" hidden="1">
              <a:extLst>
                <a:ext uri="{63B3BB69-23CF-44E3-9099-C40C66FF867C}">
                  <a14:compatExt spid="_x0000_s12294"/>
                </a:ext>
                <a:ext uri="{FF2B5EF4-FFF2-40B4-BE49-F238E27FC236}">
                  <a16:creationId xmlns:a16="http://schemas.microsoft.com/office/drawing/2014/main" id="{00000000-0008-0000-0900-000006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hu-HU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Van géphajó kormányosi képesítés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57150</xdr:colOff>
          <xdr:row>10</xdr:row>
          <xdr:rowOff>161925</xdr:rowOff>
        </xdr:from>
        <xdr:to>
          <xdr:col>4</xdr:col>
          <xdr:colOff>533400</xdr:colOff>
          <xdr:row>12</xdr:row>
          <xdr:rowOff>0</xdr:rowOff>
        </xdr:to>
        <xdr:sp macro="" textlink="">
          <xdr:nvSpPr>
            <xdr:cNvPr id="12295" name="Check Box 7" hidden="1">
              <a:extLst>
                <a:ext uri="{63B3BB69-23CF-44E3-9099-C40C66FF867C}">
                  <a14:compatExt spid="_x0000_s12295"/>
                </a:ext>
                <a:ext uri="{FF2B5EF4-FFF2-40B4-BE49-F238E27FC236}">
                  <a16:creationId xmlns:a16="http://schemas.microsoft.com/office/drawing/2014/main" id="{00000000-0008-0000-0900-000007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hu-HU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Van gépnélküli hajó vezető képesítés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57150</xdr:colOff>
          <xdr:row>13</xdr:row>
          <xdr:rowOff>161925</xdr:rowOff>
        </xdr:from>
        <xdr:to>
          <xdr:col>4</xdr:col>
          <xdr:colOff>533400</xdr:colOff>
          <xdr:row>15</xdr:row>
          <xdr:rowOff>0</xdr:rowOff>
        </xdr:to>
        <xdr:sp macro="" textlink="">
          <xdr:nvSpPr>
            <xdr:cNvPr id="12296" name="Check Box 8" hidden="1">
              <a:extLst>
                <a:ext uri="{63B3BB69-23CF-44E3-9099-C40C66FF867C}">
                  <a14:compatExt spid="_x0000_s12296"/>
                </a:ext>
                <a:ext uri="{FF2B5EF4-FFF2-40B4-BE49-F238E27FC236}">
                  <a16:creationId xmlns:a16="http://schemas.microsoft.com/office/drawing/2014/main" id="{00000000-0008-0000-0900-000008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hu-HU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Van révész A képesítés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18</xdr:row>
          <xdr:rowOff>0</xdr:rowOff>
        </xdr:from>
        <xdr:to>
          <xdr:col>9</xdr:col>
          <xdr:colOff>57150</xdr:colOff>
          <xdr:row>19</xdr:row>
          <xdr:rowOff>95250</xdr:rowOff>
        </xdr:to>
        <xdr:sp macro="" textlink="">
          <xdr:nvSpPr>
            <xdr:cNvPr id="12297" name="Check Box 9" hidden="1">
              <a:extLst>
                <a:ext uri="{63B3BB69-23CF-44E3-9099-C40C66FF867C}">
                  <a14:compatExt spid="_x0000_s12297"/>
                </a:ext>
                <a:ext uri="{FF2B5EF4-FFF2-40B4-BE49-F238E27FC236}">
                  <a16:creationId xmlns:a16="http://schemas.microsoft.com/office/drawing/2014/main" id="{00000000-0008-0000-0900-000009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hu-HU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Rendelkezik hajózási képesítéssel és iskolarendszerű képzésben, a vizsgatárgyból azonos, vagy magasabb szinten sikeres vizsgát tett (felmentési kérelem)</a:t>
              </a:r>
            </a:p>
          </xdr:txBody>
        </xdr:sp>
        <xdr:clientData/>
      </xdr:twoCellAnchor>
    </mc:Choice>
    <mc:Fallback/>
  </mc:AlternateContent>
  <xdr:twoCellAnchor>
    <xdr:from>
      <xdr:col>0</xdr:col>
      <xdr:colOff>0</xdr:colOff>
      <xdr:row>0</xdr:row>
      <xdr:rowOff>0</xdr:rowOff>
    </xdr:from>
    <xdr:to>
      <xdr:col>2</xdr:col>
      <xdr:colOff>152400</xdr:colOff>
      <xdr:row>2</xdr:row>
      <xdr:rowOff>133351</xdr:rowOff>
    </xdr:to>
    <xdr:sp macro="" textlink="">
      <xdr:nvSpPr>
        <xdr:cNvPr id="11" name="Nyíl: balra mutató 10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900-00000B000000}"/>
            </a:ext>
          </a:extLst>
        </xdr:cNvPr>
        <xdr:cNvSpPr/>
      </xdr:nvSpPr>
      <xdr:spPr>
        <a:xfrm>
          <a:off x="0" y="0"/>
          <a:ext cx="1524000" cy="514351"/>
        </a:xfrm>
        <a:prstGeom prst="leftArrow">
          <a:avLst/>
        </a:prstGeom>
        <a:solidFill>
          <a:schemeClr val="bg2">
            <a:lumMod val="75000"/>
          </a:schemeClr>
        </a:solidFill>
        <a:ln>
          <a:solidFill>
            <a:sysClr val="windowText" lastClr="000000"/>
          </a:solidFill>
        </a:ln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hu-HU" sz="1100" b="1">
              <a:solidFill>
                <a:sysClr val="windowText" lastClr="000000"/>
              </a:solidFill>
            </a:rPr>
            <a:t>Vissza a kezdőlapra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9.xml"/><Relationship Id="rId3" Type="http://schemas.openxmlformats.org/officeDocument/2006/relationships/ctrlProp" Target="../ctrlProps/ctrlProp54.xml"/><Relationship Id="rId7" Type="http://schemas.openxmlformats.org/officeDocument/2006/relationships/ctrlProp" Target="../ctrlProps/ctrlProp58.xml"/><Relationship Id="rId2" Type="http://schemas.openxmlformats.org/officeDocument/2006/relationships/vmlDrawing" Target="../drawings/vmlDrawing8.vml"/><Relationship Id="rId1" Type="http://schemas.openxmlformats.org/officeDocument/2006/relationships/drawing" Target="../drawings/drawing9.xml"/><Relationship Id="rId6" Type="http://schemas.openxmlformats.org/officeDocument/2006/relationships/ctrlProp" Target="../ctrlProps/ctrlProp57.xml"/><Relationship Id="rId11" Type="http://schemas.openxmlformats.org/officeDocument/2006/relationships/ctrlProp" Target="../ctrlProps/ctrlProp62.xml"/><Relationship Id="rId5" Type="http://schemas.openxmlformats.org/officeDocument/2006/relationships/ctrlProp" Target="../ctrlProps/ctrlProp56.xml"/><Relationship Id="rId10" Type="http://schemas.openxmlformats.org/officeDocument/2006/relationships/ctrlProp" Target="../ctrlProps/ctrlProp61.xml"/><Relationship Id="rId4" Type="http://schemas.openxmlformats.org/officeDocument/2006/relationships/ctrlProp" Target="../ctrlProps/ctrlProp55.xml"/><Relationship Id="rId9" Type="http://schemas.openxmlformats.org/officeDocument/2006/relationships/ctrlProp" Target="../ctrlProps/ctrlProp60.xml"/></Relationships>
</file>

<file path=xl/worksheets/_rels/sheet1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68.xml"/><Relationship Id="rId3" Type="http://schemas.openxmlformats.org/officeDocument/2006/relationships/ctrlProp" Target="../ctrlProps/ctrlProp63.xml"/><Relationship Id="rId7" Type="http://schemas.openxmlformats.org/officeDocument/2006/relationships/ctrlProp" Target="../ctrlProps/ctrlProp67.xml"/><Relationship Id="rId12" Type="http://schemas.openxmlformats.org/officeDocument/2006/relationships/ctrlProp" Target="../ctrlProps/ctrlProp72.xml"/><Relationship Id="rId2" Type="http://schemas.openxmlformats.org/officeDocument/2006/relationships/vmlDrawing" Target="../drawings/vmlDrawing9.vml"/><Relationship Id="rId1" Type="http://schemas.openxmlformats.org/officeDocument/2006/relationships/drawing" Target="../drawings/drawing10.xml"/><Relationship Id="rId6" Type="http://schemas.openxmlformats.org/officeDocument/2006/relationships/ctrlProp" Target="../ctrlProps/ctrlProp66.xml"/><Relationship Id="rId11" Type="http://schemas.openxmlformats.org/officeDocument/2006/relationships/ctrlProp" Target="../ctrlProps/ctrlProp71.xml"/><Relationship Id="rId5" Type="http://schemas.openxmlformats.org/officeDocument/2006/relationships/ctrlProp" Target="../ctrlProps/ctrlProp65.xml"/><Relationship Id="rId10" Type="http://schemas.openxmlformats.org/officeDocument/2006/relationships/ctrlProp" Target="../ctrlProps/ctrlProp70.xml"/><Relationship Id="rId4" Type="http://schemas.openxmlformats.org/officeDocument/2006/relationships/ctrlProp" Target="../ctrlProps/ctrlProp64.xml"/><Relationship Id="rId9" Type="http://schemas.openxmlformats.org/officeDocument/2006/relationships/ctrlProp" Target="../ctrlProps/ctrlProp69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73.xml"/><Relationship Id="rId7" Type="http://schemas.openxmlformats.org/officeDocument/2006/relationships/ctrlProp" Target="../ctrlProps/ctrlProp77.xml"/><Relationship Id="rId2" Type="http://schemas.openxmlformats.org/officeDocument/2006/relationships/vmlDrawing" Target="../drawings/vmlDrawing10.vml"/><Relationship Id="rId1" Type="http://schemas.openxmlformats.org/officeDocument/2006/relationships/drawing" Target="../drawings/drawing11.xml"/><Relationship Id="rId6" Type="http://schemas.openxmlformats.org/officeDocument/2006/relationships/ctrlProp" Target="../ctrlProps/ctrlProp76.xml"/><Relationship Id="rId5" Type="http://schemas.openxmlformats.org/officeDocument/2006/relationships/ctrlProp" Target="../ctrlProps/ctrlProp75.xml"/><Relationship Id="rId4" Type="http://schemas.openxmlformats.org/officeDocument/2006/relationships/ctrlProp" Target="../ctrlProps/ctrlProp74.xml"/></Relationships>
</file>

<file path=xl/worksheets/_rels/sheet13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82.xml"/><Relationship Id="rId13" Type="http://schemas.openxmlformats.org/officeDocument/2006/relationships/ctrlProp" Target="../ctrlProps/ctrlProp87.xml"/><Relationship Id="rId3" Type="http://schemas.openxmlformats.org/officeDocument/2006/relationships/vmlDrawing" Target="../drawings/vmlDrawing11.vml"/><Relationship Id="rId7" Type="http://schemas.openxmlformats.org/officeDocument/2006/relationships/ctrlProp" Target="../ctrlProps/ctrlProp81.xml"/><Relationship Id="rId12" Type="http://schemas.openxmlformats.org/officeDocument/2006/relationships/ctrlProp" Target="../ctrlProps/ctrlProp86.x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6.bin"/><Relationship Id="rId6" Type="http://schemas.openxmlformats.org/officeDocument/2006/relationships/ctrlProp" Target="../ctrlProps/ctrlProp80.xml"/><Relationship Id="rId11" Type="http://schemas.openxmlformats.org/officeDocument/2006/relationships/ctrlProp" Target="../ctrlProps/ctrlProp85.xml"/><Relationship Id="rId5" Type="http://schemas.openxmlformats.org/officeDocument/2006/relationships/ctrlProp" Target="../ctrlProps/ctrlProp79.xml"/><Relationship Id="rId10" Type="http://schemas.openxmlformats.org/officeDocument/2006/relationships/ctrlProp" Target="../ctrlProps/ctrlProp84.xml"/><Relationship Id="rId4" Type="http://schemas.openxmlformats.org/officeDocument/2006/relationships/ctrlProp" Target="../ctrlProps/ctrlProp78.xml"/><Relationship Id="rId9" Type="http://schemas.openxmlformats.org/officeDocument/2006/relationships/ctrlProp" Target="../ctrlProps/ctrlProp83.xml"/><Relationship Id="rId14" Type="http://schemas.openxmlformats.org/officeDocument/2006/relationships/ctrlProp" Target="../ctrlProps/ctrlProp88.xml"/></Relationships>
</file>

<file path=xl/worksheets/_rels/sheet14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93.xml"/><Relationship Id="rId3" Type="http://schemas.openxmlformats.org/officeDocument/2006/relationships/vmlDrawing" Target="../drawings/vmlDrawing12.vml"/><Relationship Id="rId7" Type="http://schemas.openxmlformats.org/officeDocument/2006/relationships/ctrlProp" Target="../ctrlProps/ctrlProp92.x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7.bin"/><Relationship Id="rId6" Type="http://schemas.openxmlformats.org/officeDocument/2006/relationships/ctrlProp" Target="../ctrlProps/ctrlProp91.xml"/><Relationship Id="rId5" Type="http://schemas.openxmlformats.org/officeDocument/2006/relationships/ctrlProp" Target="../ctrlProps/ctrlProp90.xml"/><Relationship Id="rId4" Type="http://schemas.openxmlformats.org/officeDocument/2006/relationships/ctrlProp" Target="../ctrlProps/ctrlProp89.xml"/><Relationship Id="rId9" Type="http://schemas.openxmlformats.org/officeDocument/2006/relationships/ctrlProp" Target="../ctrlProps/ctrlProp9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6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99.xml"/><Relationship Id="rId13" Type="http://schemas.openxmlformats.org/officeDocument/2006/relationships/ctrlProp" Target="../ctrlProps/ctrlProp104.xml"/><Relationship Id="rId3" Type="http://schemas.openxmlformats.org/officeDocument/2006/relationships/vmlDrawing" Target="../drawings/vmlDrawing13.vml"/><Relationship Id="rId7" Type="http://schemas.openxmlformats.org/officeDocument/2006/relationships/ctrlProp" Target="../ctrlProps/ctrlProp98.xml"/><Relationship Id="rId12" Type="http://schemas.openxmlformats.org/officeDocument/2006/relationships/ctrlProp" Target="../ctrlProps/ctrlProp103.xml"/><Relationship Id="rId2" Type="http://schemas.openxmlformats.org/officeDocument/2006/relationships/drawing" Target="../drawings/drawing15.xml"/><Relationship Id="rId16" Type="http://schemas.openxmlformats.org/officeDocument/2006/relationships/ctrlProp" Target="../ctrlProps/ctrlProp107.xml"/><Relationship Id="rId1" Type="http://schemas.openxmlformats.org/officeDocument/2006/relationships/printerSettings" Target="../printerSettings/printerSettings8.bin"/><Relationship Id="rId6" Type="http://schemas.openxmlformats.org/officeDocument/2006/relationships/ctrlProp" Target="../ctrlProps/ctrlProp97.xml"/><Relationship Id="rId11" Type="http://schemas.openxmlformats.org/officeDocument/2006/relationships/ctrlProp" Target="../ctrlProps/ctrlProp102.xml"/><Relationship Id="rId5" Type="http://schemas.openxmlformats.org/officeDocument/2006/relationships/ctrlProp" Target="../ctrlProps/ctrlProp96.xml"/><Relationship Id="rId15" Type="http://schemas.openxmlformats.org/officeDocument/2006/relationships/ctrlProp" Target="../ctrlProps/ctrlProp106.xml"/><Relationship Id="rId10" Type="http://schemas.openxmlformats.org/officeDocument/2006/relationships/ctrlProp" Target="../ctrlProps/ctrlProp101.xml"/><Relationship Id="rId4" Type="http://schemas.openxmlformats.org/officeDocument/2006/relationships/ctrlProp" Target="../ctrlProps/ctrlProp95.xml"/><Relationship Id="rId9" Type="http://schemas.openxmlformats.org/officeDocument/2006/relationships/ctrlProp" Target="../ctrlProps/ctrlProp100.xml"/><Relationship Id="rId14" Type="http://schemas.openxmlformats.org/officeDocument/2006/relationships/ctrlProp" Target="../ctrlProps/ctrlProp105.xml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9.bin"/><Relationship Id="rId6" Type="http://schemas.openxmlformats.org/officeDocument/2006/relationships/ctrlProp" Target="../ctrlProps/ctrlProp110.xml"/><Relationship Id="rId5" Type="http://schemas.openxmlformats.org/officeDocument/2006/relationships/ctrlProp" Target="../ctrlProps/ctrlProp109.xml"/><Relationship Id="rId4" Type="http://schemas.openxmlformats.org/officeDocument/2006/relationships/ctrlProp" Target="../ctrlProps/ctrlProp108.xml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11.xml"/><Relationship Id="rId2" Type="http://schemas.openxmlformats.org/officeDocument/2006/relationships/vmlDrawing" Target="../drawings/vmlDrawing15.vml"/><Relationship Id="rId1" Type="http://schemas.openxmlformats.org/officeDocument/2006/relationships/drawing" Target="../drawings/drawing17.xml"/><Relationship Id="rId6" Type="http://schemas.openxmlformats.org/officeDocument/2006/relationships/ctrlProp" Target="../ctrlProps/ctrlProp114.xml"/><Relationship Id="rId5" Type="http://schemas.openxmlformats.org/officeDocument/2006/relationships/ctrlProp" Target="../ctrlProps/ctrlProp113.xml"/><Relationship Id="rId4" Type="http://schemas.openxmlformats.org/officeDocument/2006/relationships/ctrlProp" Target="../ctrlProps/ctrlProp112.xml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7" Type="http://schemas.openxmlformats.org/officeDocument/2006/relationships/ctrlProp" Target="../ctrlProps/ctrlProp118.x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0.bin"/><Relationship Id="rId6" Type="http://schemas.openxmlformats.org/officeDocument/2006/relationships/ctrlProp" Target="../ctrlProps/ctrlProp117.xml"/><Relationship Id="rId5" Type="http://schemas.openxmlformats.org/officeDocument/2006/relationships/ctrlProp" Target="../ctrlProps/ctrlProp116.xml"/><Relationship Id="rId4" Type="http://schemas.openxmlformats.org/officeDocument/2006/relationships/ctrlProp" Target="../ctrlProps/ctrlProp115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1.bin"/></Relationships>
</file>

<file path=xl/worksheets/_rels/sheet2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123.xml"/><Relationship Id="rId3" Type="http://schemas.openxmlformats.org/officeDocument/2006/relationships/vmlDrawing" Target="../drawings/vmlDrawing17.vml"/><Relationship Id="rId7" Type="http://schemas.openxmlformats.org/officeDocument/2006/relationships/ctrlProp" Target="../ctrlProps/ctrlProp122.x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2.bin"/><Relationship Id="rId6" Type="http://schemas.openxmlformats.org/officeDocument/2006/relationships/ctrlProp" Target="../ctrlProps/ctrlProp121.xml"/><Relationship Id="rId5" Type="http://schemas.openxmlformats.org/officeDocument/2006/relationships/ctrlProp" Target="../ctrlProps/ctrlProp120.xml"/><Relationship Id="rId4" Type="http://schemas.openxmlformats.org/officeDocument/2006/relationships/ctrlProp" Target="../ctrlProps/ctrlProp119.xml"/><Relationship Id="rId9" Type="http://schemas.openxmlformats.org/officeDocument/2006/relationships/ctrlProp" Target="../ctrlProps/ctrlProp124.xml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25.xml"/><Relationship Id="rId2" Type="http://schemas.openxmlformats.org/officeDocument/2006/relationships/vmlDrawing" Target="../drawings/vmlDrawing18.vml"/><Relationship Id="rId1" Type="http://schemas.openxmlformats.org/officeDocument/2006/relationships/drawing" Target="../drawings/drawing22.xml"/><Relationship Id="rId5" Type="http://schemas.openxmlformats.org/officeDocument/2006/relationships/ctrlProp" Target="../ctrlProps/ctrlProp127.xml"/><Relationship Id="rId4" Type="http://schemas.openxmlformats.org/officeDocument/2006/relationships/ctrlProp" Target="../ctrlProps/ctrlProp126.xml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7" Type="http://schemas.openxmlformats.org/officeDocument/2006/relationships/ctrlProp" Target="../ctrlProps/ctrlProp131.xml"/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13.bin"/><Relationship Id="rId6" Type="http://schemas.openxmlformats.org/officeDocument/2006/relationships/ctrlProp" Target="../ctrlProps/ctrlProp130.xml"/><Relationship Id="rId5" Type="http://schemas.openxmlformats.org/officeDocument/2006/relationships/ctrlProp" Target="../ctrlProps/ctrlProp129.xml"/><Relationship Id="rId4" Type="http://schemas.openxmlformats.org/officeDocument/2006/relationships/ctrlProp" Target="../ctrlProps/ctrlProp128.xml"/></Relationships>
</file>

<file path=xl/worksheets/_rels/sheet25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136.xml"/><Relationship Id="rId13" Type="http://schemas.openxmlformats.org/officeDocument/2006/relationships/ctrlProp" Target="../ctrlProps/ctrlProp141.xml"/><Relationship Id="rId3" Type="http://schemas.openxmlformats.org/officeDocument/2006/relationships/vmlDrawing" Target="../drawings/vmlDrawing20.vml"/><Relationship Id="rId7" Type="http://schemas.openxmlformats.org/officeDocument/2006/relationships/ctrlProp" Target="../ctrlProps/ctrlProp135.xml"/><Relationship Id="rId12" Type="http://schemas.openxmlformats.org/officeDocument/2006/relationships/ctrlProp" Target="../ctrlProps/ctrlProp140.xml"/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14.bin"/><Relationship Id="rId6" Type="http://schemas.openxmlformats.org/officeDocument/2006/relationships/ctrlProp" Target="../ctrlProps/ctrlProp134.xml"/><Relationship Id="rId11" Type="http://schemas.openxmlformats.org/officeDocument/2006/relationships/ctrlProp" Target="../ctrlProps/ctrlProp139.xml"/><Relationship Id="rId5" Type="http://schemas.openxmlformats.org/officeDocument/2006/relationships/ctrlProp" Target="../ctrlProps/ctrlProp133.xml"/><Relationship Id="rId10" Type="http://schemas.openxmlformats.org/officeDocument/2006/relationships/ctrlProp" Target="../ctrlProps/ctrlProp138.xml"/><Relationship Id="rId4" Type="http://schemas.openxmlformats.org/officeDocument/2006/relationships/ctrlProp" Target="../ctrlProps/ctrlProp132.xml"/><Relationship Id="rId9" Type="http://schemas.openxmlformats.org/officeDocument/2006/relationships/ctrlProp" Target="../ctrlProps/ctrlProp137.xml"/><Relationship Id="rId14" Type="http://schemas.openxmlformats.org/officeDocument/2006/relationships/ctrlProp" Target="../ctrlProps/ctrlProp142.xml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43.xml"/><Relationship Id="rId2" Type="http://schemas.openxmlformats.org/officeDocument/2006/relationships/vmlDrawing" Target="../drawings/vmlDrawing21.vml"/><Relationship Id="rId1" Type="http://schemas.openxmlformats.org/officeDocument/2006/relationships/drawing" Target="../drawings/drawing25.xml"/><Relationship Id="rId5" Type="http://schemas.openxmlformats.org/officeDocument/2006/relationships/ctrlProp" Target="../ctrlProps/ctrlProp145.xml"/><Relationship Id="rId4" Type="http://schemas.openxmlformats.org/officeDocument/2006/relationships/ctrlProp" Target="../ctrlProps/ctrlProp144.xml"/></Relationships>
</file>

<file path=xl/worksheets/_rels/sheet27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150.xml"/><Relationship Id="rId3" Type="http://schemas.openxmlformats.org/officeDocument/2006/relationships/vmlDrawing" Target="../drawings/vmlDrawing22.vml"/><Relationship Id="rId7" Type="http://schemas.openxmlformats.org/officeDocument/2006/relationships/ctrlProp" Target="../ctrlProps/ctrlProp149.xml"/><Relationship Id="rId12" Type="http://schemas.openxmlformats.org/officeDocument/2006/relationships/ctrlProp" Target="../ctrlProps/ctrlProp154.xml"/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15.bin"/><Relationship Id="rId6" Type="http://schemas.openxmlformats.org/officeDocument/2006/relationships/ctrlProp" Target="../ctrlProps/ctrlProp148.xml"/><Relationship Id="rId11" Type="http://schemas.openxmlformats.org/officeDocument/2006/relationships/ctrlProp" Target="../ctrlProps/ctrlProp153.xml"/><Relationship Id="rId5" Type="http://schemas.openxmlformats.org/officeDocument/2006/relationships/ctrlProp" Target="../ctrlProps/ctrlProp147.xml"/><Relationship Id="rId10" Type="http://schemas.openxmlformats.org/officeDocument/2006/relationships/ctrlProp" Target="../ctrlProps/ctrlProp152.xml"/><Relationship Id="rId4" Type="http://schemas.openxmlformats.org/officeDocument/2006/relationships/ctrlProp" Target="../ctrlProps/ctrlProp146.xml"/><Relationship Id="rId9" Type="http://schemas.openxmlformats.org/officeDocument/2006/relationships/ctrlProp" Target="../ctrlProps/ctrlProp151.xml"/></Relationships>
</file>

<file path=xl/worksheets/_rels/sheet28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160.xml"/><Relationship Id="rId3" Type="http://schemas.openxmlformats.org/officeDocument/2006/relationships/ctrlProp" Target="../ctrlProps/ctrlProp155.xml"/><Relationship Id="rId7" Type="http://schemas.openxmlformats.org/officeDocument/2006/relationships/ctrlProp" Target="../ctrlProps/ctrlProp159.xml"/><Relationship Id="rId2" Type="http://schemas.openxmlformats.org/officeDocument/2006/relationships/vmlDrawing" Target="../drawings/vmlDrawing23.vml"/><Relationship Id="rId1" Type="http://schemas.openxmlformats.org/officeDocument/2006/relationships/drawing" Target="../drawings/drawing27.xml"/><Relationship Id="rId6" Type="http://schemas.openxmlformats.org/officeDocument/2006/relationships/ctrlProp" Target="../ctrlProps/ctrlProp158.xml"/><Relationship Id="rId5" Type="http://schemas.openxmlformats.org/officeDocument/2006/relationships/ctrlProp" Target="../ctrlProps/ctrlProp157.xml"/><Relationship Id="rId10" Type="http://schemas.openxmlformats.org/officeDocument/2006/relationships/ctrlProp" Target="../ctrlProps/ctrlProp162.xml"/><Relationship Id="rId4" Type="http://schemas.openxmlformats.org/officeDocument/2006/relationships/ctrlProp" Target="../ctrlProps/ctrlProp156.xml"/><Relationship Id="rId9" Type="http://schemas.openxmlformats.org/officeDocument/2006/relationships/ctrlProp" Target="../ctrlProps/ctrlProp161.xml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63.xml"/><Relationship Id="rId2" Type="http://schemas.openxmlformats.org/officeDocument/2006/relationships/vmlDrawing" Target="../drawings/vmlDrawing24.vml"/><Relationship Id="rId1" Type="http://schemas.openxmlformats.org/officeDocument/2006/relationships/drawing" Target="../drawings/drawing28.xml"/><Relationship Id="rId5" Type="http://schemas.openxmlformats.org/officeDocument/2006/relationships/ctrlProp" Target="../ctrlProps/ctrlProp165.xml"/><Relationship Id="rId4" Type="http://schemas.openxmlformats.org/officeDocument/2006/relationships/ctrlProp" Target="../ctrlProps/ctrlProp164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2.xml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16.bin"/><Relationship Id="rId5" Type="http://schemas.openxmlformats.org/officeDocument/2006/relationships/ctrlProp" Target="../ctrlProps/ctrlProp167.xml"/><Relationship Id="rId4" Type="http://schemas.openxmlformats.org/officeDocument/2006/relationships/ctrlProp" Target="../ctrlProps/ctrlProp166.xml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7" Type="http://schemas.openxmlformats.org/officeDocument/2006/relationships/ctrlProp" Target="../ctrlProps/ctrlProp171.xml"/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17.bin"/><Relationship Id="rId6" Type="http://schemas.openxmlformats.org/officeDocument/2006/relationships/ctrlProp" Target="../ctrlProps/ctrlProp170.xml"/><Relationship Id="rId5" Type="http://schemas.openxmlformats.org/officeDocument/2006/relationships/ctrlProp" Target="../ctrlProps/ctrlProp169.xml"/><Relationship Id="rId4" Type="http://schemas.openxmlformats.org/officeDocument/2006/relationships/ctrlProp" Target="../ctrlProps/ctrlProp168.xml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18.bin"/><Relationship Id="rId4" Type="http://schemas.openxmlformats.org/officeDocument/2006/relationships/ctrlProp" Target="../ctrlProps/ctrlProp172.xml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19.bin"/><Relationship Id="rId5" Type="http://schemas.openxmlformats.org/officeDocument/2006/relationships/ctrlProp" Target="../ctrlProps/ctrlProp174.xml"/><Relationship Id="rId4" Type="http://schemas.openxmlformats.org/officeDocument/2006/relationships/ctrlProp" Target="../ctrlProps/ctrlProp173.xml"/></Relationships>
</file>

<file path=xl/worksheets/_rels/sheet34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180.xml"/><Relationship Id="rId13" Type="http://schemas.openxmlformats.org/officeDocument/2006/relationships/ctrlProp" Target="../ctrlProps/ctrlProp185.xml"/><Relationship Id="rId18" Type="http://schemas.openxmlformats.org/officeDocument/2006/relationships/ctrlProp" Target="../ctrlProps/ctrlProp190.xml"/><Relationship Id="rId26" Type="http://schemas.openxmlformats.org/officeDocument/2006/relationships/ctrlProp" Target="../ctrlProps/ctrlProp198.xml"/><Relationship Id="rId3" Type="http://schemas.openxmlformats.org/officeDocument/2006/relationships/ctrlProp" Target="../ctrlProps/ctrlProp175.xml"/><Relationship Id="rId21" Type="http://schemas.openxmlformats.org/officeDocument/2006/relationships/ctrlProp" Target="../ctrlProps/ctrlProp193.xml"/><Relationship Id="rId7" Type="http://schemas.openxmlformats.org/officeDocument/2006/relationships/ctrlProp" Target="../ctrlProps/ctrlProp179.xml"/><Relationship Id="rId12" Type="http://schemas.openxmlformats.org/officeDocument/2006/relationships/ctrlProp" Target="../ctrlProps/ctrlProp184.xml"/><Relationship Id="rId17" Type="http://schemas.openxmlformats.org/officeDocument/2006/relationships/ctrlProp" Target="../ctrlProps/ctrlProp189.xml"/><Relationship Id="rId25" Type="http://schemas.openxmlformats.org/officeDocument/2006/relationships/ctrlProp" Target="../ctrlProps/ctrlProp197.xml"/><Relationship Id="rId2" Type="http://schemas.openxmlformats.org/officeDocument/2006/relationships/vmlDrawing" Target="../drawings/vmlDrawing29.vml"/><Relationship Id="rId16" Type="http://schemas.openxmlformats.org/officeDocument/2006/relationships/ctrlProp" Target="../ctrlProps/ctrlProp188.xml"/><Relationship Id="rId20" Type="http://schemas.openxmlformats.org/officeDocument/2006/relationships/ctrlProp" Target="../ctrlProps/ctrlProp192.xml"/><Relationship Id="rId29" Type="http://schemas.openxmlformats.org/officeDocument/2006/relationships/ctrlProp" Target="../ctrlProps/ctrlProp201.xml"/><Relationship Id="rId1" Type="http://schemas.openxmlformats.org/officeDocument/2006/relationships/drawing" Target="../drawings/drawing33.xml"/><Relationship Id="rId6" Type="http://schemas.openxmlformats.org/officeDocument/2006/relationships/ctrlProp" Target="../ctrlProps/ctrlProp178.xml"/><Relationship Id="rId11" Type="http://schemas.openxmlformats.org/officeDocument/2006/relationships/ctrlProp" Target="../ctrlProps/ctrlProp183.xml"/><Relationship Id="rId24" Type="http://schemas.openxmlformats.org/officeDocument/2006/relationships/ctrlProp" Target="../ctrlProps/ctrlProp196.xml"/><Relationship Id="rId32" Type="http://schemas.openxmlformats.org/officeDocument/2006/relationships/ctrlProp" Target="../ctrlProps/ctrlProp204.xml"/><Relationship Id="rId5" Type="http://schemas.openxmlformats.org/officeDocument/2006/relationships/ctrlProp" Target="../ctrlProps/ctrlProp177.xml"/><Relationship Id="rId15" Type="http://schemas.openxmlformats.org/officeDocument/2006/relationships/ctrlProp" Target="../ctrlProps/ctrlProp187.xml"/><Relationship Id="rId23" Type="http://schemas.openxmlformats.org/officeDocument/2006/relationships/ctrlProp" Target="../ctrlProps/ctrlProp195.xml"/><Relationship Id="rId28" Type="http://schemas.openxmlformats.org/officeDocument/2006/relationships/ctrlProp" Target="../ctrlProps/ctrlProp200.xml"/><Relationship Id="rId10" Type="http://schemas.openxmlformats.org/officeDocument/2006/relationships/ctrlProp" Target="../ctrlProps/ctrlProp182.xml"/><Relationship Id="rId19" Type="http://schemas.openxmlformats.org/officeDocument/2006/relationships/ctrlProp" Target="../ctrlProps/ctrlProp191.xml"/><Relationship Id="rId31" Type="http://schemas.openxmlformats.org/officeDocument/2006/relationships/ctrlProp" Target="../ctrlProps/ctrlProp203.xml"/><Relationship Id="rId4" Type="http://schemas.openxmlformats.org/officeDocument/2006/relationships/ctrlProp" Target="../ctrlProps/ctrlProp176.xml"/><Relationship Id="rId9" Type="http://schemas.openxmlformats.org/officeDocument/2006/relationships/ctrlProp" Target="../ctrlProps/ctrlProp181.xml"/><Relationship Id="rId14" Type="http://schemas.openxmlformats.org/officeDocument/2006/relationships/ctrlProp" Target="../ctrlProps/ctrlProp186.xml"/><Relationship Id="rId22" Type="http://schemas.openxmlformats.org/officeDocument/2006/relationships/ctrlProp" Target="../ctrlProps/ctrlProp194.xml"/><Relationship Id="rId27" Type="http://schemas.openxmlformats.org/officeDocument/2006/relationships/ctrlProp" Target="../ctrlProps/ctrlProp199.xml"/><Relationship Id="rId30" Type="http://schemas.openxmlformats.org/officeDocument/2006/relationships/ctrlProp" Target="../ctrlProps/ctrlProp202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4.xml"/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19.xml"/><Relationship Id="rId13" Type="http://schemas.openxmlformats.org/officeDocument/2006/relationships/ctrlProp" Target="../ctrlProps/ctrlProp24.xml"/><Relationship Id="rId3" Type="http://schemas.openxmlformats.org/officeDocument/2006/relationships/vmlDrawing" Target="../drawings/vmlDrawing5.vml"/><Relationship Id="rId7" Type="http://schemas.openxmlformats.org/officeDocument/2006/relationships/ctrlProp" Target="../ctrlProps/ctrlProp18.xml"/><Relationship Id="rId12" Type="http://schemas.openxmlformats.org/officeDocument/2006/relationships/ctrlProp" Target="../ctrlProps/ctrlProp23.x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3.bin"/><Relationship Id="rId6" Type="http://schemas.openxmlformats.org/officeDocument/2006/relationships/ctrlProp" Target="../ctrlProps/ctrlProp17.xml"/><Relationship Id="rId11" Type="http://schemas.openxmlformats.org/officeDocument/2006/relationships/ctrlProp" Target="../ctrlProps/ctrlProp22.xml"/><Relationship Id="rId5" Type="http://schemas.openxmlformats.org/officeDocument/2006/relationships/ctrlProp" Target="../ctrlProps/ctrlProp16.xml"/><Relationship Id="rId15" Type="http://schemas.openxmlformats.org/officeDocument/2006/relationships/ctrlProp" Target="../ctrlProps/ctrlProp26.xml"/><Relationship Id="rId10" Type="http://schemas.openxmlformats.org/officeDocument/2006/relationships/ctrlProp" Target="../ctrlProps/ctrlProp21.xml"/><Relationship Id="rId4" Type="http://schemas.openxmlformats.org/officeDocument/2006/relationships/ctrlProp" Target="../ctrlProps/ctrlProp15.xml"/><Relationship Id="rId9" Type="http://schemas.openxmlformats.org/officeDocument/2006/relationships/ctrlProp" Target="../ctrlProps/ctrlProp20.xml"/><Relationship Id="rId14" Type="http://schemas.openxmlformats.org/officeDocument/2006/relationships/ctrlProp" Target="../ctrlProps/ctrlProp25.xml"/></Relationships>
</file>

<file path=xl/worksheets/_rels/sheet8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31.xml"/><Relationship Id="rId13" Type="http://schemas.openxmlformats.org/officeDocument/2006/relationships/ctrlProp" Target="../ctrlProps/ctrlProp36.xml"/><Relationship Id="rId3" Type="http://schemas.openxmlformats.org/officeDocument/2006/relationships/vmlDrawing" Target="../drawings/vmlDrawing6.vml"/><Relationship Id="rId7" Type="http://schemas.openxmlformats.org/officeDocument/2006/relationships/ctrlProp" Target="../ctrlProps/ctrlProp30.xml"/><Relationship Id="rId12" Type="http://schemas.openxmlformats.org/officeDocument/2006/relationships/ctrlProp" Target="../ctrlProps/ctrlProp35.xml"/><Relationship Id="rId2" Type="http://schemas.openxmlformats.org/officeDocument/2006/relationships/drawing" Target="../drawings/drawing7.xml"/><Relationship Id="rId16" Type="http://schemas.openxmlformats.org/officeDocument/2006/relationships/ctrlProp" Target="../ctrlProps/ctrlProp39.xml"/><Relationship Id="rId1" Type="http://schemas.openxmlformats.org/officeDocument/2006/relationships/printerSettings" Target="../printerSettings/printerSettings4.bin"/><Relationship Id="rId6" Type="http://schemas.openxmlformats.org/officeDocument/2006/relationships/ctrlProp" Target="../ctrlProps/ctrlProp29.xml"/><Relationship Id="rId11" Type="http://schemas.openxmlformats.org/officeDocument/2006/relationships/ctrlProp" Target="../ctrlProps/ctrlProp34.xml"/><Relationship Id="rId5" Type="http://schemas.openxmlformats.org/officeDocument/2006/relationships/ctrlProp" Target="../ctrlProps/ctrlProp28.xml"/><Relationship Id="rId15" Type="http://schemas.openxmlformats.org/officeDocument/2006/relationships/ctrlProp" Target="../ctrlProps/ctrlProp38.xml"/><Relationship Id="rId10" Type="http://schemas.openxmlformats.org/officeDocument/2006/relationships/ctrlProp" Target="../ctrlProps/ctrlProp33.xml"/><Relationship Id="rId4" Type="http://schemas.openxmlformats.org/officeDocument/2006/relationships/ctrlProp" Target="../ctrlProps/ctrlProp27.xml"/><Relationship Id="rId9" Type="http://schemas.openxmlformats.org/officeDocument/2006/relationships/ctrlProp" Target="../ctrlProps/ctrlProp32.xml"/><Relationship Id="rId14" Type="http://schemas.openxmlformats.org/officeDocument/2006/relationships/ctrlProp" Target="../ctrlProps/ctrlProp37.xml"/></Relationships>
</file>

<file path=xl/worksheets/_rels/sheet9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44.xml"/><Relationship Id="rId13" Type="http://schemas.openxmlformats.org/officeDocument/2006/relationships/ctrlProp" Target="../ctrlProps/ctrlProp49.xml"/><Relationship Id="rId3" Type="http://schemas.openxmlformats.org/officeDocument/2006/relationships/vmlDrawing" Target="../drawings/vmlDrawing7.vml"/><Relationship Id="rId7" Type="http://schemas.openxmlformats.org/officeDocument/2006/relationships/ctrlProp" Target="../ctrlProps/ctrlProp43.xml"/><Relationship Id="rId12" Type="http://schemas.openxmlformats.org/officeDocument/2006/relationships/ctrlProp" Target="../ctrlProps/ctrlProp48.xml"/><Relationship Id="rId17" Type="http://schemas.openxmlformats.org/officeDocument/2006/relationships/ctrlProp" Target="../ctrlProps/ctrlProp53.xml"/><Relationship Id="rId2" Type="http://schemas.openxmlformats.org/officeDocument/2006/relationships/drawing" Target="../drawings/drawing8.xml"/><Relationship Id="rId16" Type="http://schemas.openxmlformats.org/officeDocument/2006/relationships/ctrlProp" Target="../ctrlProps/ctrlProp52.xml"/><Relationship Id="rId1" Type="http://schemas.openxmlformats.org/officeDocument/2006/relationships/printerSettings" Target="../printerSettings/printerSettings5.bin"/><Relationship Id="rId6" Type="http://schemas.openxmlformats.org/officeDocument/2006/relationships/ctrlProp" Target="../ctrlProps/ctrlProp42.xml"/><Relationship Id="rId11" Type="http://schemas.openxmlformats.org/officeDocument/2006/relationships/ctrlProp" Target="../ctrlProps/ctrlProp47.xml"/><Relationship Id="rId5" Type="http://schemas.openxmlformats.org/officeDocument/2006/relationships/ctrlProp" Target="../ctrlProps/ctrlProp41.xml"/><Relationship Id="rId15" Type="http://schemas.openxmlformats.org/officeDocument/2006/relationships/ctrlProp" Target="../ctrlProps/ctrlProp51.xml"/><Relationship Id="rId10" Type="http://schemas.openxmlformats.org/officeDocument/2006/relationships/ctrlProp" Target="../ctrlProps/ctrlProp46.xml"/><Relationship Id="rId4" Type="http://schemas.openxmlformats.org/officeDocument/2006/relationships/ctrlProp" Target="../ctrlProps/ctrlProp40.xml"/><Relationship Id="rId9" Type="http://schemas.openxmlformats.org/officeDocument/2006/relationships/ctrlProp" Target="../ctrlProps/ctrlProp45.xml"/><Relationship Id="rId14" Type="http://schemas.openxmlformats.org/officeDocument/2006/relationships/ctrlProp" Target="../ctrlProps/ctrlProp50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C35E6C-32A2-446C-B318-413CEAAE6B13}">
  <sheetPr codeName="Munka2"/>
  <dimension ref="A1:Y45"/>
  <sheetViews>
    <sheetView showGridLines="0" showRowColHeaders="0" tabSelected="1" workbookViewId="0">
      <selection activeCell="L6" sqref="L6:O7"/>
    </sheetView>
  </sheetViews>
  <sheetFormatPr defaultRowHeight="15" x14ac:dyDescent="0.25"/>
  <cols>
    <col min="1" max="5" width="10.140625" customWidth="1"/>
    <col min="6" max="6" width="10.85546875" customWidth="1"/>
    <col min="7" max="9" width="10.140625" customWidth="1"/>
    <col min="10" max="10" width="11.140625" customWidth="1"/>
    <col min="11" max="11" width="4.85546875" customWidth="1"/>
    <col min="12" max="17" width="11.140625" customWidth="1"/>
    <col min="18" max="18" width="10.7109375" customWidth="1"/>
    <col min="19" max="19" width="11.140625" customWidth="1"/>
    <col min="20" max="20" width="3.7109375" customWidth="1"/>
    <col min="21" max="21" width="11.140625" customWidth="1"/>
  </cols>
  <sheetData>
    <row r="1" spans="1:25" ht="21.75" thickBot="1" x14ac:dyDescent="0.4">
      <c r="A1" s="70" t="s">
        <v>265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  <c r="S1" s="71"/>
      <c r="T1" s="71"/>
      <c r="U1" s="71"/>
      <c r="V1" s="71"/>
      <c r="W1" s="71"/>
      <c r="X1" s="71"/>
      <c r="Y1" s="72"/>
    </row>
    <row r="2" spans="1:25" ht="15" customHeight="1" x14ac:dyDescent="0.25">
      <c r="A2" s="80" t="s">
        <v>274</v>
      </c>
      <c r="B2" s="81"/>
      <c r="C2" s="81"/>
      <c r="D2" s="81"/>
      <c r="E2" s="81"/>
      <c r="F2" s="81"/>
      <c r="G2" s="81"/>
      <c r="H2" s="81"/>
      <c r="I2" s="81"/>
      <c r="J2" s="82"/>
      <c r="L2" s="80" t="s">
        <v>270</v>
      </c>
      <c r="M2" s="81"/>
      <c r="N2" s="81"/>
      <c r="O2" s="81"/>
      <c r="P2" s="81"/>
      <c r="Q2" s="81"/>
      <c r="R2" s="81"/>
      <c r="S2" s="82"/>
      <c r="T2" s="42"/>
      <c r="U2" s="80" t="s">
        <v>31</v>
      </c>
      <c r="V2" s="81"/>
      <c r="W2" s="81"/>
      <c r="X2" s="81"/>
      <c r="Y2" s="82"/>
    </row>
    <row r="3" spans="1:25" ht="15.75" customHeight="1" x14ac:dyDescent="0.25">
      <c r="A3" s="83"/>
      <c r="B3" s="84"/>
      <c r="C3" s="84"/>
      <c r="D3" s="84"/>
      <c r="E3" s="84"/>
      <c r="F3" s="84"/>
      <c r="G3" s="84"/>
      <c r="H3" s="84"/>
      <c r="I3" s="84"/>
      <c r="J3" s="85"/>
      <c r="L3" s="83"/>
      <c r="M3" s="84"/>
      <c r="N3" s="84"/>
      <c r="O3" s="84"/>
      <c r="P3" s="84"/>
      <c r="Q3" s="84"/>
      <c r="R3" s="84"/>
      <c r="S3" s="85"/>
      <c r="T3" s="42"/>
      <c r="U3" s="83"/>
      <c r="V3" s="84"/>
      <c r="W3" s="84"/>
      <c r="X3" s="84"/>
      <c r="Y3" s="85"/>
    </row>
    <row r="4" spans="1:25" ht="15" customHeight="1" x14ac:dyDescent="0.25">
      <c r="A4" s="86" t="s">
        <v>269</v>
      </c>
      <c r="B4" s="87"/>
      <c r="C4" s="87"/>
      <c r="D4" s="87"/>
      <c r="E4" s="88"/>
      <c r="F4" s="86" t="s">
        <v>0</v>
      </c>
      <c r="G4" s="87"/>
      <c r="H4" s="87"/>
      <c r="I4" s="87"/>
      <c r="J4" s="88"/>
      <c r="L4" s="110" t="s">
        <v>271</v>
      </c>
      <c r="M4" s="111"/>
      <c r="N4" s="111"/>
      <c r="O4" s="112"/>
      <c r="P4" s="110" t="s">
        <v>272</v>
      </c>
      <c r="Q4" s="111"/>
      <c r="R4" s="111"/>
      <c r="S4" s="112"/>
      <c r="U4" s="74" t="s">
        <v>23</v>
      </c>
      <c r="V4" s="75"/>
      <c r="W4" s="75"/>
      <c r="X4" s="75"/>
      <c r="Y4" s="76"/>
    </row>
    <row r="5" spans="1:25" ht="15.75" customHeight="1" x14ac:dyDescent="0.25">
      <c r="A5" s="89"/>
      <c r="B5" s="90"/>
      <c r="C5" s="90"/>
      <c r="D5" s="90"/>
      <c r="E5" s="91"/>
      <c r="F5" s="89"/>
      <c r="G5" s="90"/>
      <c r="H5" s="90"/>
      <c r="I5" s="90"/>
      <c r="J5" s="91"/>
      <c r="L5" s="89"/>
      <c r="M5" s="90"/>
      <c r="N5" s="90"/>
      <c r="O5" s="91"/>
      <c r="P5" s="89"/>
      <c r="Q5" s="90"/>
      <c r="R5" s="90"/>
      <c r="S5" s="91"/>
      <c r="U5" s="77"/>
      <c r="V5" s="78"/>
      <c r="W5" s="78"/>
      <c r="X5" s="78"/>
      <c r="Y5" s="79"/>
    </row>
    <row r="6" spans="1:25" ht="15" customHeight="1" x14ac:dyDescent="0.25">
      <c r="A6" s="92" t="s">
        <v>10</v>
      </c>
      <c r="B6" s="93"/>
      <c r="C6" s="93"/>
      <c r="D6" s="93"/>
      <c r="E6" s="94"/>
      <c r="F6" s="74" t="s">
        <v>12</v>
      </c>
      <c r="G6" s="75"/>
      <c r="H6" s="75"/>
      <c r="I6" s="75"/>
      <c r="J6" s="76"/>
      <c r="L6" s="92" t="s">
        <v>4</v>
      </c>
      <c r="M6" s="93"/>
      <c r="N6" s="93"/>
      <c r="O6" s="94"/>
      <c r="P6" s="92" t="s">
        <v>11</v>
      </c>
      <c r="Q6" s="93"/>
      <c r="R6" s="93"/>
      <c r="S6" s="94"/>
      <c r="U6" s="74" t="s">
        <v>22</v>
      </c>
      <c r="V6" s="75"/>
      <c r="W6" s="75"/>
      <c r="X6" s="75"/>
      <c r="Y6" s="76"/>
    </row>
    <row r="7" spans="1:25" ht="15" customHeight="1" x14ac:dyDescent="0.25">
      <c r="A7" s="95"/>
      <c r="B7" s="96"/>
      <c r="C7" s="96"/>
      <c r="D7" s="96"/>
      <c r="E7" s="97"/>
      <c r="F7" s="77"/>
      <c r="G7" s="78"/>
      <c r="H7" s="78"/>
      <c r="I7" s="78"/>
      <c r="J7" s="79"/>
      <c r="L7" s="95"/>
      <c r="M7" s="96"/>
      <c r="N7" s="96"/>
      <c r="O7" s="97"/>
      <c r="P7" s="95"/>
      <c r="Q7" s="96"/>
      <c r="R7" s="96"/>
      <c r="S7" s="97"/>
      <c r="U7" s="77"/>
      <c r="V7" s="78"/>
      <c r="W7" s="78"/>
      <c r="X7" s="78"/>
      <c r="Y7" s="79"/>
    </row>
    <row r="8" spans="1:25" ht="15" customHeight="1" x14ac:dyDescent="0.25">
      <c r="A8" s="92" t="s">
        <v>9</v>
      </c>
      <c r="B8" s="93"/>
      <c r="C8" s="93"/>
      <c r="D8" s="93"/>
      <c r="E8" s="94"/>
      <c r="F8" s="74" t="s">
        <v>13</v>
      </c>
      <c r="G8" s="75"/>
      <c r="H8" s="75"/>
      <c r="I8" s="75"/>
      <c r="J8" s="76"/>
      <c r="L8" s="92" t="s">
        <v>5</v>
      </c>
      <c r="M8" s="93"/>
      <c r="N8" s="93"/>
      <c r="O8" s="94"/>
      <c r="U8" s="74" t="s">
        <v>24</v>
      </c>
      <c r="V8" s="75"/>
      <c r="W8" s="75"/>
      <c r="X8" s="75"/>
      <c r="Y8" s="76"/>
    </row>
    <row r="9" spans="1:25" ht="15" customHeight="1" x14ac:dyDescent="0.25">
      <c r="A9" s="95"/>
      <c r="B9" s="96"/>
      <c r="C9" s="96"/>
      <c r="D9" s="96"/>
      <c r="E9" s="97"/>
      <c r="F9" s="77"/>
      <c r="G9" s="78"/>
      <c r="H9" s="78"/>
      <c r="I9" s="78"/>
      <c r="J9" s="79"/>
      <c r="L9" s="95"/>
      <c r="M9" s="96"/>
      <c r="N9" s="96"/>
      <c r="O9" s="97"/>
      <c r="U9" s="77"/>
      <c r="V9" s="78"/>
      <c r="W9" s="78"/>
      <c r="X9" s="78"/>
      <c r="Y9" s="79"/>
    </row>
    <row r="10" spans="1:25" ht="15" customHeight="1" x14ac:dyDescent="0.25">
      <c r="A10" s="92" t="s">
        <v>8</v>
      </c>
      <c r="B10" s="93"/>
      <c r="C10" s="93"/>
      <c r="D10" s="93"/>
      <c r="E10" s="94"/>
      <c r="F10" s="74" t="s">
        <v>14</v>
      </c>
      <c r="G10" s="75"/>
      <c r="H10" s="75"/>
      <c r="I10" s="75"/>
      <c r="J10" s="76"/>
      <c r="L10" s="92" t="s">
        <v>6</v>
      </c>
      <c r="M10" s="93"/>
      <c r="N10" s="93"/>
      <c r="O10" s="94"/>
      <c r="U10" s="74" t="s">
        <v>25</v>
      </c>
      <c r="V10" s="75"/>
      <c r="W10" s="75"/>
      <c r="X10" s="75"/>
      <c r="Y10" s="76"/>
    </row>
    <row r="11" spans="1:25" ht="15.75" customHeight="1" x14ac:dyDescent="0.25">
      <c r="A11" s="95"/>
      <c r="B11" s="96"/>
      <c r="C11" s="96"/>
      <c r="D11" s="96"/>
      <c r="E11" s="97"/>
      <c r="F11" s="77"/>
      <c r="G11" s="78"/>
      <c r="H11" s="78"/>
      <c r="I11" s="78"/>
      <c r="J11" s="79"/>
      <c r="L11" s="95"/>
      <c r="M11" s="96"/>
      <c r="N11" s="96"/>
      <c r="O11" s="97"/>
      <c r="U11" s="77"/>
      <c r="V11" s="78"/>
      <c r="W11" s="78"/>
      <c r="X11" s="78"/>
      <c r="Y11" s="79"/>
    </row>
    <row r="12" spans="1:25" x14ac:dyDescent="0.25">
      <c r="A12" s="92" t="s">
        <v>7</v>
      </c>
      <c r="B12" s="93"/>
      <c r="C12" s="93"/>
      <c r="D12" s="93"/>
      <c r="E12" s="94"/>
      <c r="F12" s="74" t="s">
        <v>15</v>
      </c>
      <c r="G12" s="75"/>
      <c r="H12" s="75"/>
      <c r="I12" s="75"/>
      <c r="J12" s="76"/>
      <c r="U12" s="98" t="s">
        <v>273</v>
      </c>
      <c r="V12" s="99"/>
      <c r="W12" s="99"/>
      <c r="X12" s="99"/>
      <c r="Y12" s="100"/>
    </row>
    <row r="13" spans="1:25" ht="15" customHeight="1" x14ac:dyDescent="0.25">
      <c r="A13" s="95"/>
      <c r="B13" s="96"/>
      <c r="C13" s="96"/>
      <c r="D13" s="96"/>
      <c r="E13" s="97"/>
      <c r="F13" s="77"/>
      <c r="G13" s="78"/>
      <c r="H13" s="78"/>
      <c r="I13" s="78"/>
      <c r="J13" s="79"/>
      <c r="L13" s="104" t="s">
        <v>30</v>
      </c>
      <c r="M13" s="105"/>
      <c r="N13" s="105"/>
      <c r="O13" s="105"/>
      <c r="P13" s="104" t="s">
        <v>267</v>
      </c>
      <c r="Q13" s="105"/>
      <c r="R13" s="105"/>
      <c r="S13" s="108"/>
      <c r="U13" s="101"/>
      <c r="V13" s="102"/>
      <c r="W13" s="102"/>
      <c r="X13" s="102"/>
      <c r="Y13" s="103"/>
    </row>
    <row r="14" spans="1:25" ht="15" customHeight="1" x14ac:dyDescent="0.25">
      <c r="A14" s="92" t="s">
        <v>1</v>
      </c>
      <c r="B14" s="93"/>
      <c r="C14" s="93"/>
      <c r="D14" s="93"/>
      <c r="E14" s="94"/>
      <c r="F14" s="74" t="s">
        <v>16</v>
      </c>
      <c r="G14" s="75"/>
      <c r="H14" s="75"/>
      <c r="I14" s="75"/>
      <c r="J14" s="76"/>
      <c r="L14" s="106"/>
      <c r="M14" s="107"/>
      <c r="N14" s="107"/>
      <c r="O14" s="107"/>
      <c r="P14" s="106"/>
      <c r="Q14" s="107"/>
      <c r="R14" s="107"/>
      <c r="S14" s="109"/>
    </row>
    <row r="15" spans="1:25" ht="15" customHeight="1" x14ac:dyDescent="0.25">
      <c r="A15" s="95"/>
      <c r="B15" s="96"/>
      <c r="C15" s="96"/>
      <c r="D15" s="96"/>
      <c r="E15" s="97"/>
      <c r="F15" s="77"/>
      <c r="G15" s="78"/>
      <c r="H15" s="78"/>
      <c r="I15" s="78"/>
      <c r="J15" s="79"/>
      <c r="L15" s="92" t="s">
        <v>26</v>
      </c>
      <c r="M15" s="93"/>
      <c r="N15" s="93"/>
      <c r="O15" s="94"/>
      <c r="P15" s="92" t="s">
        <v>275</v>
      </c>
      <c r="Q15" s="93"/>
      <c r="R15" s="93"/>
      <c r="S15" s="94"/>
    </row>
    <row r="16" spans="1:25" ht="15" customHeight="1" x14ac:dyDescent="0.25">
      <c r="A16" s="92" t="s">
        <v>2</v>
      </c>
      <c r="B16" s="93"/>
      <c r="C16" s="93"/>
      <c r="D16" s="93"/>
      <c r="E16" s="94"/>
      <c r="F16" s="74" t="s">
        <v>266</v>
      </c>
      <c r="G16" s="75"/>
      <c r="H16" s="75"/>
      <c r="I16" s="75"/>
      <c r="J16" s="76"/>
      <c r="L16" s="95"/>
      <c r="M16" s="96"/>
      <c r="N16" s="96"/>
      <c r="O16" s="97"/>
      <c r="P16" s="95"/>
      <c r="Q16" s="96"/>
      <c r="R16" s="96"/>
      <c r="S16" s="97"/>
    </row>
    <row r="17" spans="1:19" ht="15" customHeight="1" x14ac:dyDescent="0.25">
      <c r="A17" s="95"/>
      <c r="B17" s="96"/>
      <c r="C17" s="96"/>
      <c r="D17" s="96"/>
      <c r="E17" s="97"/>
      <c r="F17" s="77"/>
      <c r="G17" s="78"/>
      <c r="H17" s="78"/>
      <c r="I17" s="78"/>
      <c r="J17" s="79"/>
      <c r="L17" s="92" t="s">
        <v>27</v>
      </c>
      <c r="M17" s="93"/>
      <c r="N17" s="93"/>
      <c r="O17" s="94"/>
      <c r="P17" s="92" t="s">
        <v>268</v>
      </c>
      <c r="Q17" s="93"/>
      <c r="R17" s="93"/>
      <c r="S17" s="94"/>
    </row>
    <row r="18" spans="1:19" ht="15" customHeight="1" x14ac:dyDescent="0.25">
      <c r="A18" s="92" t="s">
        <v>3</v>
      </c>
      <c r="B18" s="93"/>
      <c r="C18" s="93"/>
      <c r="D18" s="93"/>
      <c r="E18" s="94"/>
      <c r="F18" s="119" t="s">
        <v>264</v>
      </c>
      <c r="G18" s="120"/>
      <c r="H18" s="120"/>
      <c r="I18" s="120"/>
      <c r="J18" s="121"/>
      <c r="L18" s="95"/>
      <c r="M18" s="96"/>
      <c r="N18" s="96"/>
      <c r="O18" s="97"/>
      <c r="P18" s="95"/>
      <c r="Q18" s="96"/>
      <c r="R18" s="96"/>
      <c r="S18" s="97"/>
    </row>
    <row r="19" spans="1:19" ht="15" customHeight="1" x14ac:dyDescent="0.25">
      <c r="A19" s="95"/>
      <c r="B19" s="96"/>
      <c r="C19" s="96"/>
      <c r="D19" s="96"/>
      <c r="E19" s="97"/>
      <c r="F19" s="122"/>
      <c r="G19" s="123"/>
      <c r="H19" s="123"/>
      <c r="I19" s="123"/>
      <c r="J19" s="124"/>
      <c r="L19" s="92" t="s">
        <v>28</v>
      </c>
      <c r="M19" s="93"/>
      <c r="N19" s="93"/>
      <c r="O19" s="94"/>
      <c r="P19" s="92" t="s">
        <v>20</v>
      </c>
      <c r="Q19" s="93"/>
      <c r="R19" s="93"/>
      <c r="S19" s="94"/>
    </row>
    <row r="20" spans="1:19" ht="15" customHeight="1" x14ac:dyDescent="0.25">
      <c r="A20" s="92" t="s">
        <v>171</v>
      </c>
      <c r="B20" s="93"/>
      <c r="C20" s="93"/>
      <c r="D20" s="93"/>
      <c r="E20" s="94"/>
      <c r="F20" s="74" t="s">
        <v>18</v>
      </c>
      <c r="G20" s="75"/>
      <c r="H20" s="75"/>
      <c r="I20" s="75"/>
      <c r="J20" s="76"/>
      <c r="L20" s="95"/>
      <c r="M20" s="96"/>
      <c r="N20" s="96"/>
      <c r="O20" s="97"/>
      <c r="P20" s="95"/>
      <c r="Q20" s="96"/>
      <c r="R20" s="96"/>
      <c r="S20" s="97"/>
    </row>
    <row r="21" spans="1:19" ht="15" customHeight="1" x14ac:dyDescent="0.25">
      <c r="A21" s="95"/>
      <c r="B21" s="96"/>
      <c r="C21" s="96"/>
      <c r="D21" s="96"/>
      <c r="E21" s="97"/>
      <c r="F21" s="77"/>
      <c r="G21" s="78"/>
      <c r="H21" s="78"/>
      <c r="I21" s="78"/>
      <c r="J21" s="79"/>
    </row>
    <row r="22" spans="1:19" ht="15.75" x14ac:dyDescent="0.25">
      <c r="A22" s="58"/>
      <c r="B22" s="58"/>
      <c r="C22" s="58"/>
      <c r="D22" s="58"/>
      <c r="E22" s="58"/>
      <c r="F22" s="74" t="s">
        <v>17</v>
      </c>
      <c r="G22" s="75"/>
      <c r="H22" s="75"/>
      <c r="I22" s="75"/>
      <c r="J22" s="76"/>
    </row>
    <row r="23" spans="1:19" ht="15.75" x14ac:dyDescent="0.25">
      <c r="A23" s="58"/>
      <c r="B23" s="58"/>
      <c r="C23" s="58"/>
      <c r="D23" s="58"/>
      <c r="E23" s="58"/>
      <c r="F23" s="77"/>
      <c r="G23" s="78"/>
      <c r="H23" s="78"/>
      <c r="I23" s="78"/>
      <c r="J23" s="79"/>
    </row>
    <row r="24" spans="1:19" ht="15.75" thickBot="1" x14ac:dyDescent="0.3"/>
    <row r="25" spans="1:19" ht="15" customHeight="1" x14ac:dyDescent="0.25">
      <c r="A25" s="113" t="s">
        <v>29</v>
      </c>
      <c r="B25" s="114"/>
      <c r="C25" s="114"/>
      <c r="D25" s="114"/>
      <c r="E25" s="115"/>
    </row>
    <row r="26" spans="1:19" ht="15" customHeight="1" thickBot="1" x14ac:dyDescent="0.3">
      <c r="A26" s="116"/>
      <c r="B26" s="117"/>
      <c r="C26" s="117"/>
      <c r="D26" s="117"/>
      <c r="E26" s="118"/>
    </row>
    <row r="27" spans="1:19" ht="15.75" customHeight="1" x14ac:dyDescent="0.25"/>
    <row r="31" spans="1:19" ht="15" customHeight="1" x14ac:dyDescent="0.25">
      <c r="F31" s="57"/>
      <c r="G31" s="57"/>
      <c r="H31" s="57"/>
      <c r="I31" s="57"/>
      <c r="J31" s="57"/>
    </row>
    <row r="32" spans="1:19" x14ac:dyDescent="0.25">
      <c r="F32" s="57"/>
      <c r="G32" s="57"/>
      <c r="H32" s="57"/>
      <c r="I32" s="57"/>
      <c r="J32" s="57"/>
    </row>
    <row r="34" spans="1:5" hidden="1" x14ac:dyDescent="0.25">
      <c r="E34">
        <v>2026</v>
      </c>
    </row>
    <row r="35" spans="1:5" hidden="1" x14ac:dyDescent="0.25">
      <c r="A35" s="73" t="s">
        <v>283</v>
      </c>
      <c r="B35" s="73"/>
      <c r="C35" s="73"/>
      <c r="D35" s="73"/>
      <c r="E35" s="49">
        <v>12100</v>
      </c>
    </row>
    <row r="36" spans="1:5" hidden="1" x14ac:dyDescent="0.25">
      <c r="A36" s="73" t="s">
        <v>284</v>
      </c>
      <c r="B36" s="73"/>
      <c r="C36" s="73"/>
      <c r="D36" s="73"/>
      <c r="E36" s="49">
        <v>12000</v>
      </c>
    </row>
    <row r="37" spans="1:5" ht="15" hidden="1" customHeight="1" x14ac:dyDescent="0.25">
      <c r="A37" s="73" t="s">
        <v>44</v>
      </c>
      <c r="B37" s="73"/>
      <c r="C37" s="73"/>
      <c r="D37" s="73"/>
      <c r="E37" s="49">
        <v>19400</v>
      </c>
    </row>
    <row r="38" spans="1:5" hidden="1" x14ac:dyDescent="0.25">
      <c r="A38" s="73" t="s">
        <v>45</v>
      </c>
      <c r="B38" s="73"/>
      <c r="C38" s="73"/>
      <c r="D38" s="73"/>
      <c r="E38" s="49">
        <v>19400</v>
      </c>
    </row>
    <row r="39" spans="1:5" hidden="1" x14ac:dyDescent="0.25">
      <c r="A39" s="73" t="s">
        <v>46</v>
      </c>
      <c r="B39" s="73"/>
      <c r="C39" s="73"/>
      <c r="D39" s="73"/>
      <c r="E39" s="49">
        <v>24200</v>
      </c>
    </row>
    <row r="40" spans="1:5" hidden="1" x14ac:dyDescent="0.25">
      <c r="A40" s="73" t="s">
        <v>47</v>
      </c>
      <c r="B40" s="73"/>
      <c r="C40" s="73"/>
      <c r="D40" s="73"/>
      <c r="E40" s="49">
        <v>31500</v>
      </c>
    </row>
    <row r="41" spans="1:5" hidden="1" x14ac:dyDescent="0.25">
      <c r="A41" s="73" t="s">
        <v>285</v>
      </c>
      <c r="B41" s="73"/>
      <c r="C41" s="73"/>
      <c r="D41" s="73"/>
      <c r="E41" s="49">
        <v>7300</v>
      </c>
    </row>
    <row r="42" spans="1:5" hidden="1" x14ac:dyDescent="0.25">
      <c r="A42" s="73" t="s">
        <v>48</v>
      </c>
      <c r="B42" s="73"/>
      <c r="C42" s="73"/>
      <c r="D42" s="73"/>
      <c r="E42" s="49">
        <v>17900</v>
      </c>
    </row>
    <row r="43" spans="1:5" hidden="1" x14ac:dyDescent="0.25">
      <c r="A43" s="73" t="s">
        <v>49</v>
      </c>
      <c r="B43" s="73"/>
      <c r="C43" s="73"/>
      <c r="D43" s="73"/>
      <c r="E43" s="49">
        <v>9700</v>
      </c>
    </row>
    <row r="44" spans="1:5" hidden="1" x14ac:dyDescent="0.25">
      <c r="A44" s="73" t="s">
        <v>50</v>
      </c>
      <c r="B44" s="73"/>
      <c r="C44" s="73"/>
      <c r="D44" s="73"/>
      <c r="E44" s="49">
        <v>19300</v>
      </c>
    </row>
    <row r="45" spans="1:5" x14ac:dyDescent="0.25">
      <c r="B45" s="69"/>
      <c r="C45" s="69"/>
      <c r="D45" s="69"/>
      <c r="E45" s="49"/>
    </row>
  </sheetData>
  <sheetProtection sheet="1" objects="1" scenarios="1" selectLockedCells="1"/>
  <mergeCells count="54">
    <mergeCell ref="P17:S18"/>
    <mergeCell ref="A25:E26"/>
    <mergeCell ref="A8:E9"/>
    <mergeCell ref="A10:E11"/>
    <mergeCell ref="A12:E13"/>
    <mergeCell ref="A14:E15"/>
    <mergeCell ref="A16:E17"/>
    <mergeCell ref="A18:E19"/>
    <mergeCell ref="A20:E21"/>
    <mergeCell ref="P19:S20"/>
    <mergeCell ref="L15:O16"/>
    <mergeCell ref="L17:O18"/>
    <mergeCell ref="L19:O20"/>
    <mergeCell ref="P15:S16"/>
    <mergeCell ref="F16:J17"/>
    <mergeCell ref="F18:J19"/>
    <mergeCell ref="U2:Y3"/>
    <mergeCell ref="L13:O14"/>
    <mergeCell ref="P13:S14"/>
    <mergeCell ref="L4:O5"/>
    <mergeCell ref="L6:O7"/>
    <mergeCell ref="L8:O9"/>
    <mergeCell ref="L10:O11"/>
    <mergeCell ref="P4:S5"/>
    <mergeCell ref="L2:S3"/>
    <mergeCell ref="P6:S7"/>
    <mergeCell ref="U4:Y5"/>
    <mergeCell ref="U6:Y7"/>
    <mergeCell ref="F10:J11"/>
    <mergeCell ref="F14:J15"/>
    <mergeCell ref="U8:Y9"/>
    <mergeCell ref="U10:Y11"/>
    <mergeCell ref="U12:Y13"/>
    <mergeCell ref="A4:E5"/>
    <mergeCell ref="F4:J5"/>
    <mergeCell ref="A6:E7"/>
    <mergeCell ref="F6:J7"/>
    <mergeCell ref="F8:J9"/>
    <mergeCell ref="B45:D45"/>
    <mergeCell ref="A1:Y1"/>
    <mergeCell ref="A35:D35"/>
    <mergeCell ref="A36:D36"/>
    <mergeCell ref="A37:D37"/>
    <mergeCell ref="A38:D38"/>
    <mergeCell ref="A39:D39"/>
    <mergeCell ref="A40:D40"/>
    <mergeCell ref="A41:D41"/>
    <mergeCell ref="A42:D42"/>
    <mergeCell ref="A43:D43"/>
    <mergeCell ref="A44:D44"/>
    <mergeCell ref="F12:J13"/>
    <mergeCell ref="F20:J21"/>
    <mergeCell ref="A2:J3"/>
    <mergeCell ref="F22:J23"/>
  </mergeCells>
  <hyperlinks>
    <hyperlink ref="F6:J7" location="'Gyakornok (EU)'!A1" display="Gyakornok (EU)" xr:uid="{13364CBE-4156-4C5B-A0CC-EE9E28A339BA}"/>
    <hyperlink ref="F8:J9" location="'Tanuló matróz (EU)'!A1" display="Tanuló matróz (EU)" xr:uid="{2F5697E7-9C22-48B7-B607-C38D9D83AFF0}"/>
    <hyperlink ref="F10:J11" location="'Matróz (EU)'!A1" display="Matróz (EU)" xr:uid="{3BDBF68A-B9F6-4156-A1D9-EAECF27C0460}"/>
    <hyperlink ref="F12:J13" location="'Képesített matróz (EU)'!A1" display="Képesített matróz (EU)" xr:uid="{F7A9C134-BB3E-4545-AC27-C136B46284EF}"/>
    <hyperlink ref="F14:J15" location="'Kormányos (EU)'!A1" display="Kormányos (EU)" xr:uid="{F20C96C6-3AB0-47A5-918A-3EA39008B5F1}"/>
    <hyperlink ref="F16:J17" location="'Radar (EU)'!A1" display="Radarhajós képesítés (EU)" xr:uid="{6666BF40-DA04-4B06-8890-954B3950A0A2}"/>
    <hyperlink ref="F18:J19" location="'Nagy kötelékek (EU)'!A1" display="Nagy Kötelékek vezetésére vonatkozó különleges engedély (EU)" xr:uid="{917EC9C5-80C8-45C1-8023-2323F0D2C7EB}"/>
    <hyperlink ref="F20:J21" location="'Személyhajózási szakember (EU)'!A1" display="Személyhajózási szakember (EU)" xr:uid="{2C8E7AF9-9049-40F7-9582-1E541FE30B0F}"/>
    <hyperlink ref="F22:J23" location="'Hajóvezető (EU)'!A1" display="Hajóvezető (EU)" xr:uid="{F8104020-78AC-49D5-963C-B3F0681BC6D7}"/>
    <hyperlink ref="U4:Y5" location="'VV Magyarország'!A1" display="VV II. Magyarország (Duna és Tisza)" xr:uid="{FFB47CB8-8B13-4BC0-BDB4-0EA3D27D3095}"/>
    <hyperlink ref="U6:Y7" location="'VV Ausztria'!A1" display="VV II. Ausztria (Duna)" xr:uid="{F97FA904-AB32-43BF-9214-0A0F5580C0B5}"/>
    <hyperlink ref="U10:Y11" location="'VV Rajna'!A1" display="VV II. Rajna" xr:uid="{84DA58C2-A767-4630-941A-2D975DAB8607}"/>
    <hyperlink ref="U8:Y9" location="'VV Németország Duna'!A1" display="VV II. Németország (Duna)" xr:uid="{3914DDB5-7C93-407A-8E48-8795AA3CF1B9}"/>
    <hyperlink ref="U12:Y13" location="'VV III'!A1" display="Tengeri jellegűnek minősített belvízi víziutakon történő hajózás (VV III)" xr:uid="{9160102A-EB48-4B44-A4EC-8E2050F7DDA4}"/>
    <hyperlink ref="A8:D9" location="Révész!A1" display="Révész" xr:uid="{FB356C3A-8CF8-41FB-9F21-D3F9EB585145}"/>
    <hyperlink ref="A10:D11" location="'Gépnélküli hajóvezető'!A1" display="Gépnélküli hajóvezető" xr:uid="{1B412936-24EE-49B6-9C70-FE7FB9264D31}"/>
    <hyperlink ref="A12:D13" location="'Úszómunkagép vezető'!A1" display="Úszómunkagép vezető" xr:uid="{2202AB16-2BFC-4AB5-B2EC-089DC515C341}"/>
    <hyperlink ref="A14:D15" location="Matróz!A1" display="Matróz" xr:uid="{601A6181-9DD8-4DD5-A52A-E2EFECCFD148}"/>
    <hyperlink ref="A16:D17" location="'Matróz-gépkezelő'!A1" display="Matróz-gépkezelő" xr:uid="{F8FEBC10-AFA8-44CD-9468-BFC5A0CDF58A}"/>
    <hyperlink ref="A18:D19" location="Fedélzetmester!A1" display="Fedélzetmester" xr:uid="{122F3C41-AD52-43E4-BAB0-8A7485A24F08}"/>
    <hyperlink ref="A20:D21" location="Kormányos!A1" display="Kormányos" xr:uid="{196BCC65-A02D-44A7-9A69-5742A62D148F}"/>
    <hyperlink ref="L6:O7" location="'Szolgálati kisgéphajó vezető'!A1" display="Szolgálati célú kisgéphajó vezető" xr:uid="{CD34BB26-E4B9-40F4-A141-DA3656039FEC}"/>
    <hyperlink ref="L8:O9" location="'Hivatásos kisgéphajó vezető'!A1" display="Hivatásos kisgéphajó vezető" xr:uid="{8A3E871F-433C-4A7E-AC5E-623CC75D4011}"/>
    <hyperlink ref="L10:O11" location="'Hivatásos vit. kishajó vezető'!A1" display="Hivatásos vitorlás kishajó vezető" xr:uid="{C3F2AF13-DD4C-477A-BE16-719162562657}"/>
    <hyperlink ref="P6:S7" location="Kedvtelési!A1" display="Belvízi kedvtelési célú kishajó-vezető" xr:uid="{350D5B11-E52F-4F9C-9CE4-55D637A17933}"/>
    <hyperlink ref="P17:S18" location="ADN!A1" display="Veszélyes áru szállítási szakértő (ADN)" xr:uid="{035493FD-7CE5-4836-B6E3-C4CF770AA0D6}"/>
    <hyperlink ref="P19:S20" location="Rádiótelefonkezelő!A1" display="Belvízi hajózási rádiótelefon kezelő" xr:uid="{1B45D870-E7CE-4591-9323-68F061E1E931}"/>
    <hyperlink ref="P15:S16" location="'Hajózási üzemeltetési vezeő'!A1" display="Hajózási üzemeltetési vezető (HÜV)" xr:uid="{FE58ECD4-E98B-49C1-8B6F-4C9FD0160800}"/>
    <hyperlink ref="L17:O18" location="Gépkezelő!A1" display="Gépkezelő" xr:uid="{8E3AECF1-AA02-4664-AC78-D38CE791126D}"/>
    <hyperlink ref="L19:O20" location="Géptiszt!A1" display="Géptiszt" xr:uid="{034B521F-1F6C-431E-AA15-97FD50EC714E}"/>
    <hyperlink ref="L15:O16" location="Gépész!A1" display="Gépész" xr:uid="{12A0D69B-FFA0-45D9-91E4-450188595AFE}"/>
    <hyperlink ref="A6:E7" location="'&quot;C&quot; kat. hajóvezető'!A1" display="&quot;C&quot; kategóriájú hajóvezető" xr:uid="{52062108-8095-47B7-8973-94AC3FAFE7D3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3ADF7D-8A41-42BB-BAAF-EC978CB7D938}">
  <sheetPr codeName="Munka10">
    <tabColor rgb="FF00B0F0"/>
  </sheetPr>
  <dimension ref="A1:Y34"/>
  <sheetViews>
    <sheetView showGridLines="0" showRowColHeaders="0" workbookViewId="0">
      <selection activeCell="Y1" sqref="Y1:Y1048576"/>
    </sheetView>
  </sheetViews>
  <sheetFormatPr defaultRowHeight="15" x14ac:dyDescent="0.25"/>
  <cols>
    <col min="1" max="1" width="3.85546875" customWidth="1"/>
    <col min="2" max="7" width="16.7109375" bestFit="1" customWidth="1"/>
    <col min="11" max="11" width="10.42578125" bestFit="1" customWidth="1"/>
    <col min="14" max="14" width="3.85546875" customWidth="1"/>
    <col min="18" max="18" width="3.28515625" customWidth="1"/>
    <col min="25" max="25" width="9.140625" style="66" hidden="1" customWidth="1"/>
  </cols>
  <sheetData>
    <row r="1" spans="1:25" x14ac:dyDescent="0.25">
      <c r="A1" s="48"/>
      <c r="B1" s="48"/>
      <c r="C1" s="48"/>
    </row>
    <row r="2" spans="1:25" x14ac:dyDescent="0.25">
      <c r="A2" s="48"/>
      <c r="B2" s="48"/>
      <c r="C2" s="48"/>
    </row>
    <row r="4" spans="1:25" x14ac:dyDescent="0.25">
      <c r="B4" s="248" t="s">
        <v>7</v>
      </c>
      <c r="C4" s="249"/>
      <c r="D4" s="249"/>
      <c r="E4" s="249"/>
      <c r="F4" s="249"/>
      <c r="G4" s="249"/>
      <c r="H4" s="249"/>
      <c r="I4" s="249"/>
      <c r="J4" s="249"/>
      <c r="K4" s="249"/>
      <c r="L4" s="249"/>
      <c r="M4" s="250"/>
      <c r="O4" s="149" t="s">
        <v>35</v>
      </c>
      <c r="P4" s="150"/>
      <c r="Q4" s="151"/>
      <c r="S4" s="149" t="s">
        <v>65</v>
      </c>
      <c r="T4" s="150"/>
      <c r="U4" s="150"/>
      <c r="V4" s="150"/>
      <c r="W4" s="150"/>
      <c r="X4" s="151"/>
    </row>
    <row r="5" spans="1:25" x14ac:dyDescent="0.25">
      <c r="B5" s="251"/>
      <c r="C5" s="252"/>
      <c r="D5" s="252"/>
      <c r="E5" s="252"/>
      <c r="F5" s="252"/>
      <c r="G5" s="252"/>
      <c r="H5" s="252"/>
      <c r="I5" s="252"/>
      <c r="J5" s="252"/>
      <c r="K5" s="252"/>
      <c r="L5" s="252"/>
      <c r="M5" s="253"/>
      <c r="O5" s="152"/>
      <c r="P5" s="153" t="b">
        <v>0</v>
      </c>
      <c r="Q5" s="154"/>
      <c r="S5" s="152"/>
      <c r="T5" s="153"/>
      <c r="U5" s="153"/>
      <c r="V5" s="153"/>
      <c r="W5" s="153"/>
      <c r="X5" s="154"/>
    </row>
    <row r="6" spans="1:25" x14ac:dyDescent="0.25">
      <c r="B6" s="254" t="s">
        <v>64</v>
      </c>
      <c r="C6" s="255"/>
      <c r="D6" s="255"/>
      <c r="E6" s="255"/>
      <c r="F6" s="255"/>
      <c r="G6" s="255"/>
      <c r="H6" s="255"/>
      <c r="I6" s="255"/>
      <c r="J6" s="255"/>
      <c r="K6" s="255"/>
      <c r="L6" s="255"/>
      <c r="M6" s="256"/>
      <c r="O6" s="232" t="s">
        <v>82</v>
      </c>
      <c r="P6" s="233"/>
      <c r="Q6" s="234"/>
      <c r="S6" s="148" t="str">
        <f>IF(I23&gt;0=TRUE,"Írásos vizsgajelentkezési/felmentési kérelem","Okmányigénylés")</f>
        <v>Írásos vizsgajelentkezési/felmentési kérelem</v>
      </c>
      <c r="T6" s="148"/>
      <c r="U6" s="148"/>
      <c r="V6" s="148"/>
      <c r="W6" s="148"/>
      <c r="X6" s="148"/>
      <c r="Y6" s="66" t="b">
        <v>0</v>
      </c>
    </row>
    <row r="7" spans="1:25" x14ac:dyDescent="0.25">
      <c r="B7" s="13"/>
      <c r="C7" s="14"/>
      <c r="D7" s="14"/>
      <c r="E7" s="14"/>
      <c r="F7" s="14"/>
      <c r="G7" s="14"/>
      <c r="H7" s="14"/>
      <c r="I7" s="14"/>
      <c r="J7" s="14"/>
      <c r="K7" s="14"/>
      <c r="L7" s="14"/>
      <c r="M7" s="15"/>
      <c r="O7" s="235"/>
      <c r="P7" s="236"/>
      <c r="Q7" s="237"/>
      <c r="S7" s="148" t="s">
        <v>55</v>
      </c>
      <c r="T7" s="148"/>
      <c r="U7" s="148"/>
      <c r="V7" s="148"/>
      <c r="W7" s="148"/>
      <c r="X7" s="148"/>
      <c r="Y7" s="66" t="b">
        <v>0</v>
      </c>
    </row>
    <row r="8" spans="1:25" x14ac:dyDescent="0.25">
      <c r="B8" s="6"/>
      <c r="C8" s="7"/>
      <c r="D8" s="7"/>
      <c r="E8" s="7"/>
      <c r="F8" s="7"/>
      <c r="G8" s="7"/>
      <c r="H8" s="7"/>
      <c r="I8" s="7"/>
      <c r="J8" s="7"/>
      <c r="K8" s="7"/>
      <c r="L8" s="7"/>
      <c r="M8" s="8"/>
      <c r="O8" s="235"/>
      <c r="P8" s="236"/>
      <c r="Q8" s="237"/>
      <c r="S8" s="257" t="s">
        <v>56</v>
      </c>
      <c r="T8" s="257"/>
      <c r="U8" s="257"/>
      <c r="V8" s="257"/>
      <c r="W8" s="257"/>
      <c r="X8" s="257"/>
      <c r="Y8" s="66" t="b">
        <v>0</v>
      </c>
    </row>
    <row r="9" spans="1:25" x14ac:dyDescent="0.25">
      <c r="B9" s="6"/>
      <c r="C9" s="7"/>
      <c r="D9" s="7"/>
      <c r="E9" s="7"/>
      <c r="F9" s="7"/>
      <c r="G9" s="7"/>
      <c r="H9" s="7"/>
      <c r="I9" s="7"/>
      <c r="J9" s="7"/>
      <c r="K9" s="7"/>
      <c r="L9" s="7"/>
      <c r="M9" s="8"/>
      <c r="O9" s="235"/>
      <c r="P9" s="236"/>
      <c r="Q9" s="237"/>
      <c r="S9" s="257"/>
      <c r="T9" s="257"/>
      <c r="U9" s="257"/>
      <c r="V9" s="257"/>
      <c r="W9" s="257"/>
      <c r="X9" s="257"/>
      <c r="Y9" s="66" t="b">
        <v>0</v>
      </c>
    </row>
    <row r="10" spans="1:25" x14ac:dyDescent="0.25">
      <c r="B10" s="6"/>
      <c r="C10" s="7"/>
      <c r="D10" s="7"/>
      <c r="E10" s="7"/>
      <c r="F10" s="7"/>
      <c r="G10" s="7"/>
      <c r="H10" s="7"/>
      <c r="I10" s="7"/>
      <c r="J10" s="7"/>
      <c r="K10" s="7"/>
      <c r="L10" s="7"/>
      <c r="M10" s="8"/>
      <c r="O10" s="235"/>
      <c r="P10" s="236"/>
      <c r="Q10" s="237"/>
      <c r="S10" s="148" t="s">
        <v>57</v>
      </c>
      <c r="T10" s="148"/>
      <c r="U10" s="148"/>
      <c r="V10" s="148"/>
      <c r="W10" s="148"/>
      <c r="X10" s="148"/>
      <c r="Y10" s="66" t="b">
        <v>0</v>
      </c>
    </row>
    <row r="11" spans="1:25" x14ac:dyDescent="0.25">
      <c r="B11" s="6"/>
      <c r="C11" s="7"/>
      <c r="D11" s="7"/>
      <c r="E11" s="7"/>
      <c r="F11" s="7"/>
      <c r="G11" s="7"/>
      <c r="H11" s="7"/>
      <c r="I11" s="7"/>
      <c r="J11" s="7"/>
      <c r="K11" s="7"/>
      <c r="L11" s="7"/>
      <c r="M11" s="8"/>
      <c r="O11" s="235"/>
      <c r="P11" s="236"/>
      <c r="Q11" s="237"/>
      <c r="S11" s="148" t="s">
        <v>73</v>
      </c>
      <c r="T11" s="148"/>
      <c r="U11" s="148"/>
      <c r="V11" s="148"/>
      <c r="W11" s="148"/>
      <c r="X11" s="148"/>
      <c r="Y11" s="66" t="b">
        <v>0</v>
      </c>
    </row>
    <row r="12" spans="1:25" x14ac:dyDescent="0.25">
      <c r="B12" s="6"/>
      <c r="C12" s="7"/>
      <c r="D12" s="7"/>
      <c r="E12" s="7"/>
      <c r="F12" s="7"/>
      <c r="G12" s="7"/>
      <c r="H12" s="7"/>
      <c r="I12" s="7"/>
      <c r="J12" s="7"/>
      <c r="K12" s="7"/>
      <c r="L12" s="7"/>
      <c r="M12" s="8"/>
      <c r="O12" s="235"/>
      <c r="P12" s="236"/>
      <c r="Q12" s="237"/>
      <c r="S12" s="257" t="str">
        <f>IF(Y13=TRUE,"Hajózási szakképzésben szerzett képesítő bizonyítvány bemutatása",IF(OR(Y6:Y13)=TRUE,"","Legalább alapfokú iskolai végzettség igazolása"))</f>
        <v>Legalább alapfokú iskolai végzettség igazolása</v>
      </c>
      <c r="T12" s="257"/>
      <c r="U12" s="257"/>
      <c r="V12" s="257"/>
      <c r="W12" s="257"/>
      <c r="X12" s="257"/>
      <c r="Y12" s="66" t="b">
        <v>0</v>
      </c>
    </row>
    <row r="13" spans="1:25" x14ac:dyDescent="0.25">
      <c r="B13" s="6"/>
      <c r="C13" s="7"/>
      <c r="D13" s="7"/>
      <c r="E13" s="7"/>
      <c r="F13" s="7"/>
      <c r="G13" s="7"/>
      <c r="H13" s="7"/>
      <c r="I13" s="7"/>
      <c r="J13" s="7"/>
      <c r="K13" s="7"/>
      <c r="L13" s="7"/>
      <c r="M13" s="8"/>
      <c r="O13" s="235"/>
      <c r="P13" s="236"/>
      <c r="Q13" s="237"/>
      <c r="S13" s="257" t="str">
        <f>IF(OR(Y6,Y13)=TRUE,"Felmentési kérelemhez: képesítő okmány, vizsgajegyzőkönyv, leckekönyv vagy tanterv","")</f>
        <v/>
      </c>
      <c r="T13" s="257"/>
      <c r="U13" s="257"/>
      <c r="V13" s="257"/>
      <c r="W13" s="257"/>
      <c r="X13" s="257"/>
      <c r="Y13" s="66" t="b">
        <v>0</v>
      </c>
    </row>
    <row r="14" spans="1:25" x14ac:dyDescent="0.25">
      <c r="B14" s="6"/>
      <c r="C14" s="7"/>
      <c r="D14" s="7"/>
      <c r="E14" s="7"/>
      <c r="F14" s="7"/>
      <c r="G14" s="7"/>
      <c r="H14" s="7"/>
      <c r="I14" s="7"/>
      <c r="J14" s="7"/>
      <c r="K14" s="7"/>
      <c r="L14" s="7"/>
      <c r="M14" s="8"/>
      <c r="O14" s="235"/>
      <c r="P14" s="236"/>
      <c r="Q14" s="237"/>
      <c r="S14" s="257"/>
      <c r="T14" s="257"/>
      <c r="U14" s="257"/>
      <c r="V14" s="257"/>
      <c r="W14" s="257"/>
      <c r="X14" s="257"/>
      <c r="Y14" s="66" t="b">
        <v>0</v>
      </c>
    </row>
    <row r="15" spans="1:25" x14ac:dyDescent="0.25">
      <c r="B15" s="6"/>
      <c r="C15" s="7"/>
      <c r="D15" s="7"/>
      <c r="E15" s="7"/>
      <c r="F15" s="7"/>
      <c r="G15" s="7"/>
      <c r="H15" s="7"/>
      <c r="I15" s="7"/>
      <c r="J15" s="7"/>
      <c r="K15" s="7"/>
      <c r="L15" s="7"/>
      <c r="M15" s="8"/>
      <c r="O15" s="235"/>
      <c r="P15" s="236"/>
      <c r="Q15" s="237"/>
      <c r="S15" s="257" t="str">
        <f>IF(I23=0,"","Jóváhagyott úszómunkagép-vezetői képzés igazolt elvégzése")</f>
        <v>Jóváhagyott úszómunkagép-vezetői képzés igazolt elvégzése</v>
      </c>
      <c r="T15" s="257"/>
      <c r="U15" s="257"/>
      <c r="V15" s="257"/>
      <c r="W15" s="257"/>
      <c r="X15" s="257"/>
    </row>
    <row r="16" spans="1:25" x14ac:dyDescent="0.25">
      <c r="B16" s="6"/>
      <c r="C16" s="7"/>
      <c r="D16" s="7"/>
      <c r="E16" s="7"/>
      <c r="F16" s="7"/>
      <c r="G16" s="7"/>
      <c r="H16" s="7"/>
      <c r="I16" s="7"/>
      <c r="J16" s="7"/>
      <c r="K16" s="7"/>
      <c r="L16" s="7"/>
      <c r="M16" s="8"/>
      <c r="O16" s="235"/>
      <c r="P16" s="236"/>
      <c r="Q16" s="237"/>
      <c r="S16" s="257"/>
      <c r="T16" s="257"/>
      <c r="U16" s="257"/>
      <c r="V16" s="257"/>
      <c r="W16" s="257"/>
      <c r="X16" s="257"/>
    </row>
    <row r="17" spans="2:24" x14ac:dyDescent="0.25">
      <c r="B17" s="6"/>
      <c r="C17" s="7"/>
      <c r="D17" s="7"/>
      <c r="E17" s="7"/>
      <c r="F17" s="7"/>
      <c r="G17" s="7"/>
      <c r="H17" s="7"/>
      <c r="I17" s="7"/>
      <c r="J17" s="7"/>
      <c r="K17" s="7"/>
      <c r="L17" s="7"/>
      <c r="M17" s="8"/>
      <c r="O17" s="238"/>
      <c r="P17" s="239"/>
      <c r="Q17" s="240"/>
      <c r="S17" s="45"/>
      <c r="T17" s="45"/>
      <c r="U17" s="45"/>
      <c r="V17" s="45"/>
      <c r="W17" s="45"/>
      <c r="X17" s="45"/>
    </row>
    <row r="18" spans="2:24" x14ac:dyDescent="0.25">
      <c r="B18" s="6"/>
      <c r="C18" s="7"/>
      <c r="D18" s="7"/>
      <c r="E18" s="7"/>
      <c r="F18" s="7"/>
      <c r="G18" s="7"/>
      <c r="H18" s="7"/>
      <c r="I18" s="7"/>
      <c r="J18" s="7"/>
      <c r="K18" s="7"/>
      <c r="L18" s="7"/>
      <c r="M18" s="8"/>
      <c r="S18" s="155" t="s">
        <v>76</v>
      </c>
      <c r="T18" s="156"/>
      <c r="U18" s="156"/>
      <c r="V18" s="156"/>
      <c r="W18" s="156"/>
      <c r="X18" s="157"/>
    </row>
    <row r="19" spans="2:24" x14ac:dyDescent="0.25">
      <c r="B19" s="6"/>
      <c r="C19" s="7"/>
      <c r="D19" s="7"/>
      <c r="E19" s="7"/>
      <c r="F19" s="7"/>
      <c r="G19" s="7"/>
      <c r="H19" s="7"/>
      <c r="I19" s="7"/>
      <c r="J19" s="7"/>
      <c r="K19" s="7"/>
      <c r="L19" s="7"/>
      <c r="M19" s="8"/>
      <c r="S19" s="158"/>
      <c r="T19" s="159"/>
      <c r="U19" s="159"/>
      <c r="V19" s="159"/>
      <c r="W19" s="159"/>
      <c r="X19" s="160"/>
    </row>
    <row r="20" spans="2:24" x14ac:dyDescent="0.25">
      <c r="B20" s="9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1"/>
      <c r="S20" s="158"/>
      <c r="T20" s="159"/>
      <c r="U20" s="159"/>
      <c r="V20" s="159"/>
      <c r="W20" s="159"/>
      <c r="X20" s="160"/>
    </row>
    <row r="21" spans="2:24" x14ac:dyDescent="0.25">
      <c r="S21" s="158"/>
      <c r="T21" s="159"/>
      <c r="U21" s="159"/>
      <c r="V21" s="159"/>
      <c r="W21" s="159"/>
      <c r="X21" s="160"/>
    </row>
    <row r="22" spans="2:24" ht="15.75" x14ac:dyDescent="0.25">
      <c r="B22" s="125" t="s">
        <v>37</v>
      </c>
      <c r="C22" s="125"/>
      <c r="D22" s="125"/>
      <c r="E22" s="125"/>
      <c r="F22" s="125"/>
      <c r="G22" s="125"/>
      <c r="I22" s="125" t="s">
        <v>43</v>
      </c>
      <c r="J22" s="125"/>
      <c r="K22" s="125" t="s">
        <v>78</v>
      </c>
      <c r="L22" s="125"/>
      <c r="S22" s="161"/>
      <c r="T22" s="162"/>
      <c r="U22" s="162"/>
      <c r="V22" s="162"/>
      <c r="W22" s="162"/>
      <c r="X22" s="163"/>
    </row>
    <row r="23" spans="2:24" ht="13.5" customHeight="1" x14ac:dyDescent="0.25">
      <c r="B23" s="263" t="s">
        <v>79</v>
      </c>
      <c r="C23" s="263" t="s">
        <v>80</v>
      </c>
      <c r="D23" s="263" t="s">
        <v>68</v>
      </c>
      <c r="E23" s="263" t="s">
        <v>69</v>
      </c>
      <c r="F23" s="263" t="s">
        <v>71</v>
      </c>
      <c r="G23" s="263" t="s">
        <v>81</v>
      </c>
      <c r="H23" s="18"/>
      <c r="I23" s="258">
        <f>SUM(B34:G34)</f>
        <v>86800</v>
      </c>
      <c r="J23" s="258"/>
      <c r="K23" s="131">
        <f>Kezdőlap!E41</f>
        <v>7300</v>
      </c>
      <c r="L23" s="131"/>
      <c r="S23" s="257" t="str">
        <f>IF(Y13=TRUE,"Hajózási szakképzésben szerzett képesítő bizonyítványként azt a képesítő okmányt lehet elfogadni, amelyet olyan oktatási intézmény adott ki, amelynek tanterve a hajózási hatóság által jóváhagyott szakmai oktatási programot tartalmazza","")</f>
        <v/>
      </c>
      <c r="T23" s="257"/>
      <c r="U23" s="257"/>
      <c r="V23" s="257"/>
      <c r="W23" s="257"/>
      <c r="X23" s="257"/>
    </row>
    <row r="24" spans="2:24" x14ac:dyDescent="0.25">
      <c r="B24" s="263"/>
      <c r="C24" s="263"/>
      <c r="D24" s="263"/>
      <c r="E24" s="263"/>
      <c r="F24" s="263"/>
      <c r="G24" s="263"/>
      <c r="I24" s="258"/>
      <c r="J24" s="258"/>
      <c r="K24" s="131"/>
      <c r="L24" s="131"/>
      <c r="S24" s="257"/>
      <c r="T24" s="257"/>
      <c r="U24" s="257"/>
      <c r="V24" s="257"/>
      <c r="W24" s="257"/>
      <c r="X24" s="257"/>
    </row>
    <row r="25" spans="2:24" x14ac:dyDescent="0.25">
      <c r="B25" s="263"/>
      <c r="C25" s="263"/>
      <c r="D25" s="263"/>
      <c r="E25" s="263"/>
      <c r="F25" s="263"/>
      <c r="G25" s="263"/>
      <c r="I25" s="258"/>
      <c r="J25" s="258"/>
      <c r="K25" s="131"/>
      <c r="L25" s="131"/>
      <c r="S25" s="257"/>
      <c r="T25" s="257"/>
      <c r="U25" s="257"/>
      <c r="V25" s="257"/>
      <c r="W25" s="257"/>
      <c r="X25" s="257"/>
    </row>
    <row r="26" spans="2:24" x14ac:dyDescent="0.25">
      <c r="B26" s="263"/>
      <c r="C26" s="263"/>
      <c r="D26" s="263"/>
      <c r="E26" s="263"/>
      <c r="F26" s="263"/>
      <c r="G26" s="263"/>
      <c r="I26" s="258"/>
      <c r="J26" s="258"/>
      <c r="K26" s="131"/>
      <c r="L26" s="131"/>
      <c r="S26" s="257"/>
      <c r="T26" s="257"/>
      <c r="U26" s="257"/>
      <c r="V26" s="257"/>
      <c r="W26" s="257"/>
      <c r="X26" s="257"/>
    </row>
    <row r="27" spans="2:24" x14ac:dyDescent="0.25">
      <c r="B27" s="263"/>
      <c r="C27" s="263"/>
      <c r="D27" s="263"/>
      <c r="E27" s="263"/>
      <c r="F27" s="263"/>
      <c r="G27" s="263"/>
      <c r="I27" s="258"/>
      <c r="J27" s="258"/>
      <c r="K27" s="131"/>
      <c r="L27" s="131"/>
      <c r="S27" s="257"/>
      <c r="T27" s="257"/>
      <c r="U27" s="257"/>
      <c r="V27" s="257"/>
      <c r="W27" s="257"/>
      <c r="X27" s="257"/>
    </row>
    <row r="28" spans="2:24" x14ac:dyDescent="0.25">
      <c r="B28" s="263"/>
      <c r="C28" s="263"/>
      <c r="D28" s="263"/>
      <c r="E28" s="263"/>
      <c r="F28" s="263"/>
      <c r="G28" s="263"/>
      <c r="I28" s="258"/>
      <c r="J28" s="258"/>
      <c r="K28" s="131"/>
      <c r="L28" s="131"/>
      <c r="S28" s="257"/>
      <c r="T28" s="257"/>
      <c r="U28" s="257"/>
      <c r="V28" s="257"/>
      <c r="W28" s="257"/>
      <c r="X28" s="257"/>
    </row>
    <row r="29" spans="2:24" x14ac:dyDescent="0.25">
      <c r="B29" s="263"/>
      <c r="C29" s="263"/>
      <c r="D29" s="263"/>
      <c r="E29" s="263"/>
      <c r="F29" s="263"/>
      <c r="G29" s="263"/>
      <c r="I29" s="258"/>
      <c r="J29" s="258"/>
      <c r="K29" s="131"/>
      <c r="L29" s="131"/>
      <c r="S29" s="257"/>
      <c r="T29" s="257"/>
      <c r="U29" s="257"/>
      <c r="V29" s="257"/>
      <c r="W29" s="257"/>
      <c r="X29" s="257"/>
    </row>
    <row r="30" spans="2:24" x14ac:dyDescent="0.25">
      <c r="B30" s="263"/>
      <c r="C30" s="263"/>
      <c r="D30" s="263"/>
      <c r="E30" s="263"/>
      <c r="F30" s="263"/>
      <c r="G30" s="263"/>
    </row>
    <row r="31" spans="2:24" x14ac:dyDescent="0.25">
      <c r="B31" s="263"/>
      <c r="C31" s="263"/>
      <c r="D31" s="263"/>
      <c r="E31" s="263"/>
      <c r="F31" s="263"/>
      <c r="G31" s="263"/>
      <c r="S31" s="213" t="s">
        <v>279</v>
      </c>
      <c r="T31" s="214"/>
      <c r="U31" s="214"/>
      <c r="V31" s="214"/>
      <c r="W31" s="214"/>
      <c r="X31" s="215"/>
    </row>
    <row r="32" spans="2:24" x14ac:dyDescent="0.25">
      <c r="B32" s="263"/>
      <c r="C32" s="263"/>
      <c r="D32" s="263"/>
      <c r="E32" s="263"/>
      <c r="F32" s="263"/>
      <c r="G32" s="263"/>
      <c r="S32" s="216"/>
      <c r="T32" s="217"/>
      <c r="U32" s="217"/>
      <c r="V32" s="217"/>
      <c r="W32" s="217"/>
      <c r="X32" s="218"/>
    </row>
    <row r="33" spans="2:24" ht="15.75" x14ac:dyDescent="0.25">
      <c r="B33" s="16" t="str">
        <f>IF(B34=0,"Felmentés",IF(OR(Y6,Y13)=TRUE,"Felmentés/vizsga","Vizsga"))</f>
        <v>Vizsga</v>
      </c>
      <c r="C33" s="16" t="str">
        <f>IF(C34=0,"Felmentés",IF(OR(Y6,Y13)=TRUE,"Felmentés/vizsga","Vizsga"))</f>
        <v>Vizsga</v>
      </c>
      <c r="D33" s="16" t="str">
        <f>IF(D34=0,"Felmentés",IF(OR(Y6,Y13)=TRUE,"Felmentés/vizsga","Vizsga"))</f>
        <v>Vizsga</v>
      </c>
      <c r="E33" s="16" t="str">
        <f>IF(E34=0,"Felmentés",IF(OR(Y6,Y13)=TRUE,"Felmentés/vizsga","Vizsga"))</f>
        <v>Vizsga</v>
      </c>
      <c r="F33" s="16" t="str">
        <f>IF(F34=0,"Felmentés",IF(OR(Y6,Y13)=TRUE,"Felmentés/vizsga","Vizsga"))</f>
        <v>Vizsga</v>
      </c>
      <c r="G33" s="16" t="str">
        <f>IF(G34=0,"Felmentés",IF(OR(Y6,Y13)=TRUE,"Felmentés/vizsga","Vizsga"))</f>
        <v>Vizsga</v>
      </c>
      <c r="S33" s="216"/>
      <c r="T33" s="217"/>
      <c r="U33" s="217"/>
      <c r="V33" s="217"/>
      <c r="W33" s="217"/>
      <c r="X33" s="218"/>
    </row>
    <row r="34" spans="2:24" ht="15.75" x14ac:dyDescent="0.25">
      <c r="B34" s="39">
        <f>IF(Y7=TRUE,0,IF(Y8=TRUE,0,IF(Y10=TRUE,0,IF(Y12=TRUE,0,Kezdőlap!E36))))</f>
        <v>12000</v>
      </c>
      <c r="C34" s="39">
        <f>IF(Y7=TRUE,0,IF(Y8=TRUE,0,IF(Y10=TRUE,0,IF(Y12=TRUE,0,Kezdőlap!E37))))</f>
        <v>19400</v>
      </c>
      <c r="D34" s="39">
        <f>IF(Y7=TRUE,0,IF(Y9=TRUE,0,IF(Y10=TRUE,0,Kezdőlap!E36)))</f>
        <v>12000</v>
      </c>
      <c r="E34" s="39">
        <f>IF(Y7=TRUE,0,IF(Y9=TRUE,0,IF(Y14=TRUE,0,IF(Y12=TRUE,0,Kezdőlap!E36))))</f>
        <v>12000</v>
      </c>
      <c r="F34" s="39">
        <f>IF(OR(Y7,Y8,Y10,Y11,Y12,Y14)=TRUE,0,Kezdőlap!E36)</f>
        <v>12000</v>
      </c>
      <c r="G34" s="39">
        <f>IF(Y7=TRUE,0,IF(Y10=TRUE,0,IF(Y12=TRUE,0,Kezdőlap!E37)))</f>
        <v>19400</v>
      </c>
      <c r="S34" s="219"/>
      <c r="T34" s="220"/>
      <c r="U34" s="220"/>
      <c r="V34" s="220"/>
      <c r="W34" s="220"/>
      <c r="X34" s="221"/>
    </row>
  </sheetData>
  <sheetProtection sheet="1" objects="1" scenarios="1" selectLockedCells="1"/>
  <mergeCells count="27">
    <mergeCell ref="B4:M5"/>
    <mergeCell ref="B6:M6"/>
    <mergeCell ref="I22:J22"/>
    <mergeCell ref="B22:G22"/>
    <mergeCell ref="B23:B32"/>
    <mergeCell ref="C23:C32"/>
    <mergeCell ref="D23:D32"/>
    <mergeCell ref="E23:E32"/>
    <mergeCell ref="F23:F32"/>
    <mergeCell ref="G23:G32"/>
    <mergeCell ref="I23:J29"/>
    <mergeCell ref="K22:L22"/>
    <mergeCell ref="K23:L29"/>
    <mergeCell ref="S18:X22"/>
    <mergeCell ref="S23:X29"/>
    <mergeCell ref="S31:X34"/>
    <mergeCell ref="O4:Q5"/>
    <mergeCell ref="S4:X5"/>
    <mergeCell ref="O6:Q17"/>
    <mergeCell ref="S6:X6"/>
    <mergeCell ref="S7:X7"/>
    <mergeCell ref="S8:X9"/>
    <mergeCell ref="S15:X16"/>
    <mergeCell ref="S10:X10"/>
    <mergeCell ref="S13:X14"/>
    <mergeCell ref="S11:X11"/>
    <mergeCell ref="S12:X12"/>
  </mergeCells>
  <conditionalFormatting sqref="B33:G33">
    <cfRule type="containsText" dxfId="55" priority="1" operator="containsText" text="Vizsga">
      <formula>NOT(ISERROR(SEARCH("Vizsga",B33)))</formula>
    </cfRule>
  </conditionalFormatting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2289" r:id="rId3" name="Check Box 1">
              <controlPr defaultSize="0" autoFill="0" autoLine="0" autoPict="0">
                <anchor moveWithCells="1">
                  <from>
                    <xdr:col>1</xdr:col>
                    <xdr:colOff>57150</xdr:colOff>
                    <xdr:row>9</xdr:row>
                    <xdr:rowOff>47625</xdr:rowOff>
                  </from>
                  <to>
                    <xdr:col>5</xdr:col>
                    <xdr:colOff>828675</xdr:colOff>
                    <xdr:row>10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90" r:id="rId4" name="Check Box 2">
              <controlPr defaultSize="0" autoFill="0" autoLine="0" autoPict="0">
                <anchor moveWithCells="1">
                  <from>
                    <xdr:col>1</xdr:col>
                    <xdr:colOff>57150</xdr:colOff>
                    <xdr:row>12</xdr:row>
                    <xdr:rowOff>66675</xdr:rowOff>
                  </from>
                  <to>
                    <xdr:col>4</xdr:col>
                    <xdr:colOff>533400</xdr:colOff>
                    <xdr:row>13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91" r:id="rId5" name="Check Box 3">
              <controlPr defaultSize="0" autoFill="0" autoLine="0" autoPict="0">
                <anchor moveWithCells="1">
                  <from>
                    <xdr:col>1</xdr:col>
                    <xdr:colOff>57150</xdr:colOff>
                    <xdr:row>15</xdr:row>
                    <xdr:rowOff>66675</xdr:rowOff>
                  </from>
                  <to>
                    <xdr:col>4</xdr:col>
                    <xdr:colOff>647700</xdr:colOff>
                    <xdr:row>16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92" r:id="rId6" name="Check Box 4">
              <controlPr defaultSize="0" autoFill="0" autoLine="0" autoPict="0">
                <anchor moveWithCells="1">
                  <from>
                    <xdr:col>1</xdr:col>
                    <xdr:colOff>57150</xdr:colOff>
                    <xdr:row>6</xdr:row>
                    <xdr:rowOff>47625</xdr:rowOff>
                  </from>
                  <to>
                    <xdr:col>8</xdr:col>
                    <xdr:colOff>9525</xdr:colOff>
                    <xdr:row>7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93" r:id="rId7" name="Check Box 5">
              <controlPr defaultSize="0" autoFill="0" autoLine="0" autoPict="0">
                <anchor moveWithCells="1">
                  <from>
                    <xdr:col>1</xdr:col>
                    <xdr:colOff>57150</xdr:colOff>
                    <xdr:row>16</xdr:row>
                    <xdr:rowOff>152400</xdr:rowOff>
                  </from>
                  <to>
                    <xdr:col>4</xdr:col>
                    <xdr:colOff>647700</xdr:colOff>
                    <xdr:row>17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94" r:id="rId8" name="Check Box 6">
              <controlPr defaultSize="0" autoFill="0" autoLine="0" autoPict="0">
                <anchor moveWithCells="1">
                  <from>
                    <xdr:col>1</xdr:col>
                    <xdr:colOff>57150</xdr:colOff>
                    <xdr:row>7</xdr:row>
                    <xdr:rowOff>123825</xdr:rowOff>
                  </from>
                  <to>
                    <xdr:col>5</xdr:col>
                    <xdr:colOff>828675</xdr:colOff>
                    <xdr:row>8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95" r:id="rId9" name="Check Box 7">
              <controlPr defaultSize="0" autoFill="0" autoLine="0" autoPict="0">
                <anchor moveWithCells="1">
                  <from>
                    <xdr:col>1</xdr:col>
                    <xdr:colOff>57150</xdr:colOff>
                    <xdr:row>10</xdr:row>
                    <xdr:rowOff>161925</xdr:rowOff>
                  </from>
                  <to>
                    <xdr:col>4</xdr:col>
                    <xdr:colOff>533400</xdr:colOff>
                    <xdr:row>12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96" r:id="rId10" name="Check Box 8">
              <controlPr defaultSize="0" autoFill="0" autoLine="0" autoPict="0">
                <anchor moveWithCells="1">
                  <from>
                    <xdr:col>1</xdr:col>
                    <xdr:colOff>57150</xdr:colOff>
                    <xdr:row>13</xdr:row>
                    <xdr:rowOff>161925</xdr:rowOff>
                  </from>
                  <to>
                    <xdr:col>4</xdr:col>
                    <xdr:colOff>533400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97" r:id="rId11" name="Check Box 9">
              <controlPr defaultSize="0" autoFill="0" autoLine="0" autoPict="0">
                <anchor moveWithCells="1">
                  <from>
                    <xdr:col>1</xdr:col>
                    <xdr:colOff>66675</xdr:colOff>
                    <xdr:row>18</xdr:row>
                    <xdr:rowOff>0</xdr:rowOff>
                  </from>
                  <to>
                    <xdr:col>9</xdr:col>
                    <xdr:colOff>57150</xdr:colOff>
                    <xdr:row>19</xdr:row>
                    <xdr:rowOff>95250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70648D-E243-4CC9-AE62-3D4FE5BB96E8}">
  <sheetPr codeName="Munka11">
    <tabColor rgb="FF00B0F0"/>
  </sheetPr>
  <dimension ref="A1:Y50"/>
  <sheetViews>
    <sheetView showGridLines="0" showRowColHeaders="0" workbookViewId="0">
      <selection activeCell="N36" sqref="N36"/>
    </sheetView>
  </sheetViews>
  <sheetFormatPr defaultRowHeight="15" x14ac:dyDescent="0.25"/>
  <cols>
    <col min="2" max="8" width="16.7109375" bestFit="1" customWidth="1"/>
    <col min="12" max="12" width="10.42578125" bestFit="1" customWidth="1"/>
    <col min="14" max="14" width="4" customWidth="1"/>
    <col min="18" max="18" width="3.7109375" customWidth="1"/>
    <col min="25" max="25" width="9.140625" style="66" hidden="1" customWidth="1"/>
  </cols>
  <sheetData>
    <row r="1" spans="1:25" x14ac:dyDescent="0.25">
      <c r="A1" s="48"/>
      <c r="B1" s="48"/>
      <c r="C1" s="48"/>
    </row>
    <row r="2" spans="1:25" x14ac:dyDescent="0.25">
      <c r="A2" s="48"/>
      <c r="B2" s="48"/>
      <c r="C2" s="48"/>
    </row>
    <row r="4" spans="1:25" x14ac:dyDescent="0.25">
      <c r="B4" s="248" t="s">
        <v>8</v>
      </c>
      <c r="C4" s="249"/>
      <c r="D4" s="249"/>
      <c r="E4" s="249"/>
      <c r="F4" s="249"/>
      <c r="G4" s="249"/>
      <c r="H4" s="249"/>
      <c r="I4" s="249"/>
      <c r="J4" s="249"/>
      <c r="K4" s="249"/>
      <c r="L4" s="249"/>
      <c r="M4" s="250"/>
      <c r="O4" s="149" t="s">
        <v>35</v>
      </c>
      <c r="P4" s="150"/>
      <c r="Q4" s="151"/>
      <c r="S4" s="149" t="s">
        <v>65</v>
      </c>
      <c r="T4" s="150"/>
      <c r="U4" s="150"/>
      <c r="V4" s="150"/>
      <c r="W4" s="150"/>
      <c r="X4" s="151"/>
    </row>
    <row r="5" spans="1:25" x14ac:dyDescent="0.25">
      <c r="B5" s="251"/>
      <c r="C5" s="252"/>
      <c r="D5" s="252"/>
      <c r="E5" s="252"/>
      <c r="F5" s="252"/>
      <c r="G5" s="252"/>
      <c r="H5" s="252"/>
      <c r="I5" s="252"/>
      <c r="J5" s="252"/>
      <c r="K5" s="252"/>
      <c r="L5" s="252"/>
      <c r="M5" s="253"/>
      <c r="O5" s="152"/>
      <c r="P5" s="153" t="b">
        <v>0</v>
      </c>
      <c r="Q5" s="154"/>
      <c r="S5" s="152"/>
      <c r="T5" s="153"/>
      <c r="U5" s="153"/>
      <c r="V5" s="153"/>
      <c r="W5" s="153"/>
      <c r="X5" s="154"/>
    </row>
    <row r="6" spans="1:25" x14ac:dyDescent="0.25">
      <c r="B6" s="254" t="s">
        <v>64</v>
      </c>
      <c r="C6" s="255"/>
      <c r="D6" s="255"/>
      <c r="E6" s="255"/>
      <c r="F6" s="255"/>
      <c r="G6" s="255"/>
      <c r="H6" s="255"/>
      <c r="I6" s="255"/>
      <c r="J6" s="255"/>
      <c r="K6" s="255"/>
      <c r="L6" s="255"/>
      <c r="M6" s="256"/>
      <c r="O6" s="232" t="str">
        <f>IF(Y10=TRUE,"Fedélzeti szolgálatban eltöltött 12 havi gyakorlat, amelynek legalább felét gépnélküli hajón kell eltölteni","Fedélzeti szolgálatban eltöltött 18 havi gyakorlat, amelynek legalább felét gépnélküli hajón kell eltölteni")</f>
        <v>Fedélzeti szolgálatban eltöltött 18 havi gyakorlat, amelynek legalább felét gépnélküli hajón kell eltölteni</v>
      </c>
      <c r="P6" s="233"/>
      <c r="Q6" s="234"/>
      <c r="S6" s="148" t="str">
        <f>IF(J23=0,"Okmányigénylés","Írásos vizsgajelentkezési/felmentési kérelem")</f>
        <v>Írásos vizsgajelentkezési/felmentési kérelem</v>
      </c>
      <c r="T6" s="148"/>
      <c r="U6" s="148"/>
      <c r="V6" s="148"/>
      <c r="W6" s="148"/>
      <c r="X6" s="148"/>
      <c r="Y6" s="66" t="b">
        <v>0</v>
      </c>
    </row>
    <row r="7" spans="1:25" x14ac:dyDescent="0.25">
      <c r="B7" s="13"/>
      <c r="C7" s="14"/>
      <c r="D7" s="14"/>
      <c r="E7" s="14"/>
      <c r="F7" s="14"/>
      <c r="G7" s="14"/>
      <c r="H7" s="14"/>
      <c r="I7" s="14"/>
      <c r="J7" s="14"/>
      <c r="K7" s="14"/>
      <c r="L7" s="14"/>
      <c r="M7" s="15"/>
      <c r="O7" s="235"/>
      <c r="P7" s="236"/>
      <c r="Q7" s="237"/>
      <c r="S7" s="148" t="s">
        <v>55</v>
      </c>
      <c r="T7" s="148"/>
      <c r="U7" s="148"/>
      <c r="V7" s="148"/>
      <c r="W7" s="148"/>
      <c r="X7" s="148"/>
      <c r="Y7" s="66" t="b">
        <v>0</v>
      </c>
    </row>
    <row r="8" spans="1:25" x14ac:dyDescent="0.25">
      <c r="B8" s="6"/>
      <c r="C8" s="7"/>
      <c r="D8" s="7"/>
      <c r="E8" s="7"/>
      <c r="F8" s="7"/>
      <c r="G8" s="7"/>
      <c r="H8" s="7"/>
      <c r="I8" s="7"/>
      <c r="J8" s="7"/>
      <c r="K8" s="7"/>
      <c r="L8" s="7"/>
      <c r="M8" s="8"/>
      <c r="O8" s="235"/>
      <c r="P8" s="236"/>
      <c r="Q8" s="237"/>
      <c r="S8" s="148" t="s">
        <v>73</v>
      </c>
      <c r="T8" s="148"/>
      <c r="U8" s="148"/>
      <c r="V8" s="148"/>
      <c r="W8" s="148"/>
      <c r="X8" s="148"/>
      <c r="Y8" s="66" t="b">
        <v>0</v>
      </c>
    </row>
    <row r="9" spans="1:25" x14ac:dyDescent="0.25">
      <c r="B9" s="6"/>
      <c r="C9" s="7"/>
      <c r="D9" s="7"/>
      <c r="E9" s="7"/>
      <c r="F9" s="7"/>
      <c r="G9" s="7"/>
      <c r="H9" s="7"/>
      <c r="I9" s="7"/>
      <c r="J9" s="7"/>
      <c r="K9" s="7"/>
      <c r="L9" s="7"/>
      <c r="M9" s="8"/>
      <c r="O9" s="235"/>
      <c r="P9" s="236"/>
      <c r="Q9" s="237"/>
      <c r="S9" s="257" t="s">
        <v>56</v>
      </c>
      <c r="T9" s="257"/>
      <c r="U9" s="257"/>
      <c r="V9" s="257"/>
      <c r="W9" s="257"/>
      <c r="X9" s="257"/>
      <c r="Y9" s="66" t="b">
        <v>0</v>
      </c>
    </row>
    <row r="10" spans="1:25" x14ac:dyDescent="0.25">
      <c r="B10" s="6"/>
      <c r="C10" s="7"/>
      <c r="D10" s="7"/>
      <c r="E10" s="7"/>
      <c r="F10" s="7"/>
      <c r="G10" s="7"/>
      <c r="H10" s="7"/>
      <c r="I10" s="7"/>
      <c r="J10" s="7"/>
      <c r="K10" s="7"/>
      <c r="L10" s="7"/>
      <c r="M10" s="8"/>
      <c r="O10" s="235"/>
      <c r="P10" s="236"/>
      <c r="Q10" s="237"/>
      <c r="S10" s="257"/>
      <c r="T10" s="257"/>
      <c r="U10" s="257"/>
      <c r="V10" s="257"/>
      <c r="W10" s="257"/>
      <c r="X10" s="257"/>
      <c r="Y10" s="66" t="b">
        <v>0</v>
      </c>
    </row>
    <row r="11" spans="1:25" x14ac:dyDescent="0.25">
      <c r="B11" s="6"/>
      <c r="C11" s="7"/>
      <c r="D11" s="7"/>
      <c r="E11" s="7"/>
      <c r="F11" s="7"/>
      <c r="G11" s="7"/>
      <c r="H11" s="7"/>
      <c r="I11" s="7"/>
      <c r="J11" s="7"/>
      <c r="K11" s="7"/>
      <c r="L11" s="7"/>
      <c r="M11" s="8"/>
      <c r="O11" s="235"/>
      <c r="P11" s="236"/>
      <c r="Q11" s="237"/>
      <c r="S11" s="257" t="str">
        <f>IF(J23=0,"",IF(Y10=TRUE,"Bizonyítvány, képesítés, oklevél bemutatása","A vizsgatárgyakat magába foglaló képzésen való részvétel igazolása"))</f>
        <v>A vizsgatárgyakat magába foglaló képzésen való részvétel igazolása</v>
      </c>
      <c r="T11" s="257"/>
      <c r="U11" s="257"/>
      <c r="V11" s="257"/>
      <c r="W11" s="257"/>
      <c r="X11" s="257"/>
      <c r="Y11" s="66" t="b">
        <v>0</v>
      </c>
    </row>
    <row r="12" spans="1:25" x14ac:dyDescent="0.25">
      <c r="B12" s="6"/>
      <c r="C12" s="7"/>
      <c r="D12" s="7"/>
      <c r="E12" s="7"/>
      <c r="F12" s="7"/>
      <c r="G12" s="7"/>
      <c r="H12" s="7"/>
      <c r="I12" s="7"/>
      <c r="J12" s="7"/>
      <c r="K12" s="7"/>
      <c r="L12" s="7"/>
      <c r="M12" s="8"/>
      <c r="O12" s="235"/>
      <c r="P12" s="236"/>
      <c r="Q12" s="237"/>
      <c r="S12" s="257"/>
      <c r="T12" s="257"/>
      <c r="U12" s="257"/>
      <c r="V12" s="257"/>
      <c r="W12" s="257"/>
      <c r="X12" s="257"/>
      <c r="Y12" s="66" t="b">
        <v>0</v>
      </c>
    </row>
    <row r="13" spans="1:25" x14ac:dyDescent="0.25">
      <c r="B13" s="6"/>
      <c r="C13" s="7"/>
      <c r="D13" s="7"/>
      <c r="E13" s="7"/>
      <c r="F13" s="7"/>
      <c r="G13" s="7"/>
      <c r="H13" s="7"/>
      <c r="I13" s="7"/>
      <c r="J13" s="7"/>
      <c r="K13" s="7"/>
      <c r="L13" s="7"/>
      <c r="M13" s="8"/>
      <c r="O13" s="235"/>
      <c r="P13" s="236"/>
      <c r="Q13" s="237"/>
      <c r="S13" s="148" t="s">
        <v>57</v>
      </c>
      <c r="T13" s="148"/>
      <c r="U13" s="148"/>
      <c r="V13" s="148"/>
      <c r="W13" s="148"/>
      <c r="X13" s="148"/>
      <c r="Y13" s="66" t="b">
        <v>0</v>
      </c>
    </row>
    <row r="14" spans="1:25" x14ac:dyDescent="0.25">
      <c r="B14" s="6"/>
      <c r="C14" s="7"/>
      <c r="D14" s="7"/>
      <c r="E14" s="7"/>
      <c r="F14" s="7"/>
      <c r="G14" s="7"/>
      <c r="H14" s="7"/>
      <c r="I14" s="7"/>
      <c r="J14" s="7"/>
      <c r="K14" s="7"/>
      <c r="L14" s="7"/>
      <c r="M14" s="8"/>
      <c r="O14" s="235"/>
      <c r="P14" s="236"/>
      <c r="Q14" s="237"/>
      <c r="S14" s="148" t="str">
        <f>IF(OR(Y6:Y7,Y8:Y11,Y12,Y14,Y15)=TRUE,"","Legalább alapfokú iskolai végzettség bemutatása")</f>
        <v>Legalább alapfokú iskolai végzettség bemutatása</v>
      </c>
      <c r="T14" s="148"/>
      <c r="U14" s="148"/>
      <c r="V14" s="148"/>
      <c r="W14" s="148"/>
      <c r="X14" s="148"/>
      <c r="Y14" s="66" t="b">
        <v>0</v>
      </c>
    </row>
    <row r="15" spans="1:25" x14ac:dyDescent="0.25">
      <c r="B15" s="6"/>
      <c r="C15" s="7"/>
      <c r="D15" s="7"/>
      <c r="E15" s="7"/>
      <c r="F15" s="7"/>
      <c r="G15" s="7"/>
      <c r="H15" s="7"/>
      <c r="I15" s="7"/>
      <c r="J15" s="7"/>
      <c r="K15" s="7"/>
      <c r="L15" s="7"/>
      <c r="M15" s="8"/>
      <c r="O15" s="238"/>
      <c r="P15" s="239"/>
      <c r="Q15" s="240"/>
      <c r="S15" s="257" t="str">
        <f>IF(OR(Y10,Y15)=TRUE,"Felmentési kérelemhez: képesítő okmány, vizsgajegyzőkönyv, leckekönyv vagy tanterv","")</f>
        <v/>
      </c>
      <c r="T15" s="257"/>
      <c r="U15" s="257"/>
      <c r="V15" s="257"/>
      <c r="W15" s="257"/>
      <c r="X15" s="257"/>
      <c r="Y15" s="66" t="b">
        <v>0</v>
      </c>
    </row>
    <row r="16" spans="1:25" x14ac:dyDescent="0.25">
      <c r="B16" s="6"/>
      <c r="C16" s="7"/>
      <c r="D16" s="7"/>
      <c r="E16" s="7"/>
      <c r="F16" s="7"/>
      <c r="G16" s="7"/>
      <c r="H16" s="7"/>
      <c r="I16" s="7"/>
      <c r="J16" s="7"/>
      <c r="K16" s="7"/>
      <c r="L16" s="7"/>
      <c r="M16" s="8"/>
      <c r="S16" s="257"/>
      <c r="T16" s="257"/>
      <c r="U16" s="257"/>
      <c r="V16" s="257"/>
      <c r="W16" s="257"/>
      <c r="X16" s="257"/>
    </row>
    <row r="17" spans="2:24" x14ac:dyDescent="0.25">
      <c r="B17" s="6"/>
      <c r="C17" s="7"/>
      <c r="D17" s="7"/>
      <c r="E17" s="7"/>
      <c r="F17" s="7"/>
      <c r="G17" s="7"/>
      <c r="H17" s="7"/>
      <c r="I17" s="7"/>
      <c r="J17" s="7"/>
      <c r="K17" s="7"/>
      <c r="L17" s="7"/>
      <c r="M17" s="8"/>
      <c r="S17" s="45"/>
      <c r="T17" s="45"/>
      <c r="U17" s="45"/>
      <c r="V17" s="45"/>
      <c r="W17" s="45"/>
      <c r="X17" s="45"/>
    </row>
    <row r="18" spans="2:24" ht="15" customHeight="1" x14ac:dyDescent="0.25">
      <c r="B18" s="6"/>
      <c r="C18" s="7"/>
      <c r="D18" s="7"/>
      <c r="E18" s="7"/>
      <c r="F18" s="7"/>
      <c r="G18" s="7"/>
      <c r="H18" s="7"/>
      <c r="I18" s="7"/>
      <c r="J18" s="7"/>
      <c r="K18" s="7"/>
      <c r="L18" s="7"/>
      <c r="M18" s="8"/>
      <c r="S18" s="155" t="s">
        <v>76</v>
      </c>
      <c r="T18" s="156"/>
      <c r="U18" s="156"/>
      <c r="V18" s="156"/>
      <c r="W18" s="156"/>
      <c r="X18" s="157"/>
    </row>
    <row r="19" spans="2:24" x14ac:dyDescent="0.25">
      <c r="B19" s="6"/>
      <c r="C19" s="7"/>
      <c r="D19" s="7"/>
      <c r="E19" s="7"/>
      <c r="F19" s="7"/>
      <c r="G19" s="7"/>
      <c r="H19" s="7"/>
      <c r="I19" s="7"/>
      <c r="J19" s="7"/>
      <c r="K19" s="7"/>
      <c r="L19" s="7"/>
      <c r="M19" s="8"/>
      <c r="S19" s="158"/>
      <c r="T19" s="159"/>
      <c r="U19" s="159"/>
      <c r="V19" s="159"/>
      <c r="W19" s="159"/>
      <c r="X19" s="160"/>
    </row>
    <row r="20" spans="2:24" x14ac:dyDescent="0.25">
      <c r="B20" s="9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1"/>
      <c r="S20" s="158"/>
      <c r="T20" s="159"/>
      <c r="U20" s="159"/>
      <c r="V20" s="159"/>
      <c r="W20" s="159"/>
      <c r="X20" s="160"/>
    </row>
    <row r="21" spans="2:24" x14ac:dyDescent="0.25">
      <c r="S21" s="158"/>
      <c r="T21" s="159"/>
      <c r="U21" s="159"/>
      <c r="V21" s="159"/>
      <c r="W21" s="159"/>
      <c r="X21" s="160"/>
    </row>
    <row r="22" spans="2:24" ht="15.75" x14ac:dyDescent="0.25">
      <c r="B22" s="125" t="s">
        <v>37</v>
      </c>
      <c r="C22" s="125"/>
      <c r="D22" s="125"/>
      <c r="E22" s="125"/>
      <c r="F22" s="125"/>
      <c r="G22" s="125"/>
      <c r="H22" s="125"/>
      <c r="J22" s="125" t="s">
        <v>43</v>
      </c>
      <c r="K22" s="125"/>
      <c r="L22" s="125" t="s">
        <v>78</v>
      </c>
      <c r="M22" s="125"/>
      <c r="S22" s="161"/>
      <c r="T22" s="162"/>
      <c r="U22" s="162"/>
      <c r="V22" s="162"/>
      <c r="W22" s="162"/>
      <c r="X22" s="163"/>
    </row>
    <row r="23" spans="2:24" ht="15" customHeight="1" x14ac:dyDescent="0.25">
      <c r="B23" s="263" t="s">
        <v>66</v>
      </c>
      <c r="C23" s="263" t="s">
        <v>67</v>
      </c>
      <c r="D23" s="263" t="s">
        <v>68</v>
      </c>
      <c r="E23" s="263" t="s">
        <v>83</v>
      </c>
      <c r="F23" s="263" t="s">
        <v>71</v>
      </c>
      <c r="G23" s="263" t="s">
        <v>84</v>
      </c>
      <c r="H23" s="263" t="s">
        <v>85</v>
      </c>
      <c r="I23" s="20"/>
      <c r="J23" s="258">
        <f>SUM(B34:H34)</f>
        <v>98800</v>
      </c>
      <c r="K23" s="258"/>
      <c r="L23" s="264">
        <f>Kezdőlap!E41</f>
        <v>7300</v>
      </c>
      <c r="M23" s="264"/>
      <c r="S23" s="257" t="str">
        <f>IF(Y10=TRUE,"Hajózási szakképzésben szerzett képesítő bizonyítványként azt a képesítő okmányt lehet elfogadni, amelyet olyan oktatási intézmény adott ki, amelynek tanterve a hajózási hatóság által jóváhagyott szakmai oktatási programot tartalmazza","")</f>
        <v/>
      </c>
      <c r="T23" s="257"/>
      <c r="U23" s="257"/>
      <c r="V23" s="257"/>
      <c r="W23" s="257"/>
      <c r="X23" s="257"/>
    </row>
    <row r="24" spans="2:24" x14ac:dyDescent="0.25">
      <c r="B24" s="263"/>
      <c r="C24" s="263"/>
      <c r="D24" s="263"/>
      <c r="E24" s="263"/>
      <c r="F24" s="263"/>
      <c r="G24" s="263"/>
      <c r="H24" s="263"/>
      <c r="J24" s="258"/>
      <c r="K24" s="258"/>
      <c r="L24" s="264"/>
      <c r="M24" s="264"/>
      <c r="S24" s="257"/>
      <c r="T24" s="257"/>
      <c r="U24" s="257"/>
      <c r="V24" s="257"/>
      <c r="W24" s="257"/>
      <c r="X24" s="257"/>
    </row>
    <row r="25" spans="2:24" x14ac:dyDescent="0.25">
      <c r="B25" s="263"/>
      <c r="C25" s="263"/>
      <c r="D25" s="263"/>
      <c r="E25" s="263"/>
      <c r="F25" s="263"/>
      <c r="G25" s="263"/>
      <c r="H25" s="263"/>
      <c r="J25" s="258"/>
      <c r="K25" s="258"/>
      <c r="L25" s="264"/>
      <c r="M25" s="264"/>
      <c r="S25" s="257"/>
      <c r="T25" s="257"/>
      <c r="U25" s="257"/>
      <c r="V25" s="257"/>
      <c r="W25" s="257"/>
      <c r="X25" s="257"/>
    </row>
    <row r="26" spans="2:24" x14ac:dyDescent="0.25">
      <c r="B26" s="263"/>
      <c r="C26" s="263"/>
      <c r="D26" s="263"/>
      <c r="E26" s="263"/>
      <c r="F26" s="263"/>
      <c r="G26" s="263"/>
      <c r="H26" s="263"/>
      <c r="J26" s="258"/>
      <c r="K26" s="258"/>
      <c r="L26" s="264"/>
      <c r="M26" s="264"/>
      <c r="S26" s="257"/>
      <c r="T26" s="257"/>
      <c r="U26" s="257"/>
      <c r="V26" s="257"/>
      <c r="W26" s="257"/>
      <c r="X26" s="257"/>
    </row>
    <row r="27" spans="2:24" x14ac:dyDescent="0.25">
      <c r="B27" s="263"/>
      <c r="C27" s="263"/>
      <c r="D27" s="263"/>
      <c r="E27" s="263"/>
      <c r="F27" s="263"/>
      <c r="G27" s="263"/>
      <c r="H27" s="263"/>
      <c r="J27" s="258"/>
      <c r="K27" s="258"/>
      <c r="L27" s="264"/>
      <c r="M27" s="264"/>
      <c r="S27" s="257"/>
      <c r="T27" s="257"/>
      <c r="U27" s="257"/>
      <c r="V27" s="257"/>
      <c r="W27" s="257"/>
      <c r="X27" s="257"/>
    </row>
    <row r="28" spans="2:24" x14ac:dyDescent="0.25">
      <c r="B28" s="263"/>
      <c r="C28" s="263"/>
      <c r="D28" s="263"/>
      <c r="E28" s="263"/>
      <c r="F28" s="263"/>
      <c r="G28" s="263"/>
      <c r="H28" s="263"/>
      <c r="J28" s="258"/>
      <c r="K28" s="258"/>
      <c r="L28" s="264"/>
      <c r="M28" s="264"/>
      <c r="S28" s="257"/>
      <c r="T28" s="257"/>
      <c r="U28" s="257"/>
      <c r="V28" s="257"/>
      <c r="W28" s="257"/>
      <c r="X28" s="257"/>
    </row>
    <row r="29" spans="2:24" x14ac:dyDescent="0.25">
      <c r="B29" s="263"/>
      <c r="C29" s="263"/>
      <c r="D29" s="263"/>
      <c r="E29" s="263"/>
      <c r="F29" s="263"/>
      <c r="G29" s="263"/>
      <c r="H29" s="263"/>
      <c r="J29" s="258"/>
      <c r="K29" s="258"/>
      <c r="L29" s="264"/>
      <c r="M29" s="264"/>
      <c r="S29" s="257"/>
      <c r="T29" s="257"/>
      <c r="U29" s="257"/>
      <c r="V29" s="257"/>
      <c r="W29" s="257"/>
      <c r="X29" s="257"/>
    </row>
    <row r="30" spans="2:24" x14ac:dyDescent="0.25">
      <c r="B30" s="263"/>
      <c r="C30" s="263"/>
      <c r="D30" s="263"/>
      <c r="E30" s="263"/>
      <c r="F30" s="263"/>
      <c r="G30" s="263"/>
      <c r="H30" s="263"/>
    </row>
    <row r="31" spans="2:24" x14ac:dyDescent="0.25">
      <c r="B31" s="263"/>
      <c r="C31" s="263"/>
      <c r="D31" s="263"/>
      <c r="E31" s="263"/>
      <c r="F31" s="263"/>
      <c r="G31" s="263"/>
      <c r="H31" s="263"/>
      <c r="S31" s="213" t="s">
        <v>279</v>
      </c>
      <c r="T31" s="214"/>
      <c r="U31" s="214"/>
      <c r="V31" s="214"/>
      <c r="W31" s="214"/>
      <c r="X31" s="215"/>
    </row>
    <row r="32" spans="2:24" x14ac:dyDescent="0.25">
      <c r="B32" s="263"/>
      <c r="C32" s="263"/>
      <c r="D32" s="263"/>
      <c r="E32" s="263"/>
      <c r="F32" s="263"/>
      <c r="G32" s="263"/>
      <c r="H32" s="263"/>
      <c r="S32" s="216"/>
      <c r="T32" s="217"/>
      <c r="U32" s="217"/>
      <c r="V32" s="217"/>
      <c r="W32" s="217"/>
      <c r="X32" s="218"/>
    </row>
    <row r="33" spans="2:24" ht="15.75" x14ac:dyDescent="0.25">
      <c r="B33" s="16" t="str">
        <f>IF(B34=0,"Felmentés",IF(OR(Y15,Y10)=TRUE,"Felmentés/vizsga","Vizsga"))</f>
        <v>Vizsga</v>
      </c>
      <c r="C33" s="16" t="str">
        <f>IF(C34=0,"Felmentés",IF(OR(Y15,Y10)=TRUE,"Felmentés/vizsga","Vizsga"))</f>
        <v>Vizsga</v>
      </c>
      <c r="D33" s="16" t="str">
        <f>IF(D34=0,"Felmentés",IF(OR(Y15,Y10)=TRUE,"Felmentés/vizsga","Vizsga"))</f>
        <v>Vizsga</v>
      </c>
      <c r="E33" s="16" t="str">
        <f>IF(E34=0,"Felmentés",IF(OR(Y15,Y10)=TRUE,"Felmentés/vizsga","Vizsga"))</f>
        <v>Vizsga</v>
      </c>
      <c r="F33" s="16" t="str">
        <f>IF(F34=0,"Felmentés",IF(OR(Y15,Y10)=TRUE,"Felmentés/vizsga","Vizsga"))</f>
        <v>Vizsga</v>
      </c>
      <c r="G33" s="16" t="str">
        <f>IF(G34=0,"Felmentés",IF(OR(Y15,Y10)=TRUE,"Felmentés/vizsga","Vizsga"))</f>
        <v>Vizsga</v>
      </c>
      <c r="H33" s="16" t="str">
        <f>IF(H34=0,"Felmentés",IF(OR(Y15,Y10)=TRUE,"Felmentés/vizsga","Vizsga"))</f>
        <v>Vizsga</v>
      </c>
      <c r="S33" s="216"/>
      <c r="T33" s="217"/>
      <c r="U33" s="217"/>
      <c r="V33" s="217"/>
      <c r="W33" s="217"/>
      <c r="X33" s="218"/>
    </row>
    <row r="34" spans="2:24" ht="15.75" x14ac:dyDescent="0.25">
      <c r="B34" s="39">
        <f>IF(OR(Y6,Y7,Y9,Y12,Y14)=TRUE,0,Kezdőlap!E36)</f>
        <v>12000</v>
      </c>
      <c r="C34" s="39">
        <f>IF(OR(Y6,Y7,Y9,Y12,Y14)=TRUE,0,Kezdőlap!E36)</f>
        <v>12000</v>
      </c>
      <c r="D34" s="39">
        <f>IF(OR(Y6,Y11,Y12,Y14)=TRUE,0,Kezdőlap!E36)</f>
        <v>12000</v>
      </c>
      <c r="E34" s="39">
        <f>IF(OR(Y14)=TRUE,0,Kezdőlap!E36)</f>
        <v>12000</v>
      </c>
      <c r="F34" s="39">
        <f>IF(OR(Y6,Y7,Y8,Y9,Y11,Y12,Y13,Y14)=TRUE,0,Kezdőlap!E36)</f>
        <v>12000</v>
      </c>
      <c r="G34" s="39">
        <f>IF(Y8=TRUE,0,Kezdőlap!E37)</f>
        <v>19400</v>
      </c>
      <c r="H34" s="39">
        <f>IF(OR(Y6,Y9,Y11,Y12,Y14)=TRUE,0,Kezdőlap!E37)</f>
        <v>19400</v>
      </c>
      <c r="S34" s="219"/>
      <c r="T34" s="220"/>
      <c r="U34" s="220"/>
      <c r="V34" s="220"/>
      <c r="W34" s="220"/>
      <c r="X34" s="221"/>
    </row>
    <row r="50" spans="17:17" ht="15.75" x14ac:dyDescent="0.25">
      <c r="Q50" s="16"/>
    </row>
  </sheetData>
  <sheetProtection sheet="1" objects="1" scenarios="1" selectLockedCells="1"/>
  <mergeCells count="28">
    <mergeCell ref="B4:M5"/>
    <mergeCell ref="B6:M6"/>
    <mergeCell ref="O4:Q5"/>
    <mergeCell ref="S4:X5"/>
    <mergeCell ref="O6:Q15"/>
    <mergeCell ref="S6:X6"/>
    <mergeCell ref="S7:X7"/>
    <mergeCell ref="S8:X8"/>
    <mergeCell ref="S9:X10"/>
    <mergeCell ref="S11:X12"/>
    <mergeCell ref="S13:X13"/>
    <mergeCell ref="S14:X14"/>
    <mergeCell ref="S15:X16"/>
    <mergeCell ref="S18:X22"/>
    <mergeCell ref="B22:H22"/>
    <mergeCell ref="J22:K22"/>
    <mergeCell ref="B23:B32"/>
    <mergeCell ref="C23:C32"/>
    <mergeCell ref="D23:D32"/>
    <mergeCell ref="E23:E32"/>
    <mergeCell ref="F23:F32"/>
    <mergeCell ref="G23:G32"/>
    <mergeCell ref="H23:H32"/>
    <mergeCell ref="S23:X29"/>
    <mergeCell ref="J23:K29"/>
    <mergeCell ref="L22:M22"/>
    <mergeCell ref="L23:M29"/>
    <mergeCell ref="S31:X34"/>
  </mergeCells>
  <conditionalFormatting sqref="B33:H33">
    <cfRule type="containsText" dxfId="54" priority="2" operator="containsText" text="Vizsga">
      <formula>NOT(ISERROR(SEARCH("Vizsga",B33)))</formula>
    </cfRule>
  </conditionalFormatting>
  <conditionalFormatting sqref="Q50">
    <cfRule type="containsText" dxfId="53" priority="1" operator="containsText" text="Vizsga">
      <formula>NOT(ISERROR(SEARCH("Vizsga",Q50)))</formula>
    </cfRule>
  </conditionalFormatting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3313" r:id="rId3" name="Check Box 1">
              <controlPr defaultSize="0" autoFill="0" autoLine="0" autoPict="0">
                <anchor moveWithCells="1">
                  <from>
                    <xdr:col>1</xdr:col>
                    <xdr:colOff>57150</xdr:colOff>
                    <xdr:row>13</xdr:row>
                    <xdr:rowOff>152400</xdr:rowOff>
                  </from>
                  <to>
                    <xdr:col>6</xdr:col>
                    <xdr:colOff>914400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14" r:id="rId4" name="Check Box 2">
              <controlPr defaultSize="0" autoFill="0" autoLine="0" autoPict="0">
                <anchor moveWithCells="1">
                  <from>
                    <xdr:col>1</xdr:col>
                    <xdr:colOff>57150</xdr:colOff>
                    <xdr:row>8</xdr:row>
                    <xdr:rowOff>180975</xdr:rowOff>
                  </from>
                  <to>
                    <xdr:col>5</xdr:col>
                    <xdr:colOff>828675</xdr:colOff>
                    <xdr:row>10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15" r:id="rId5" name="Check Box 3">
              <controlPr defaultSize="0" autoFill="0" autoLine="0" autoPict="0">
                <anchor moveWithCells="1">
                  <from>
                    <xdr:col>1</xdr:col>
                    <xdr:colOff>57150</xdr:colOff>
                    <xdr:row>10</xdr:row>
                    <xdr:rowOff>47625</xdr:rowOff>
                  </from>
                  <to>
                    <xdr:col>5</xdr:col>
                    <xdr:colOff>828675</xdr:colOff>
                    <xdr:row>11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16" r:id="rId6" name="Check Box 4">
              <controlPr defaultSize="0" autoFill="0" autoLine="0" autoPict="0">
                <anchor moveWithCells="1">
                  <from>
                    <xdr:col>1</xdr:col>
                    <xdr:colOff>57150</xdr:colOff>
                    <xdr:row>11</xdr:row>
                    <xdr:rowOff>95250</xdr:rowOff>
                  </from>
                  <to>
                    <xdr:col>4</xdr:col>
                    <xdr:colOff>533400</xdr:colOff>
                    <xdr:row>12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17" r:id="rId7" name="Check Box 5">
              <controlPr defaultSize="0" autoFill="0" autoLine="0" autoPict="0">
                <anchor moveWithCells="1">
                  <from>
                    <xdr:col>1</xdr:col>
                    <xdr:colOff>57150</xdr:colOff>
                    <xdr:row>12</xdr:row>
                    <xdr:rowOff>123825</xdr:rowOff>
                  </from>
                  <to>
                    <xdr:col>4</xdr:col>
                    <xdr:colOff>533400</xdr:colOff>
                    <xdr:row>13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18" r:id="rId8" name="Check Box 6">
              <controlPr defaultSize="0" autoFill="0" autoLine="0" autoPict="0">
                <anchor moveWithCells="1">
                  <from>
                    <xdr:col>1</xdr:col>
                    <xdr:colOff>57150</xdr:colOff>
                    <xdr:row>15</xdr:row>
                    <xdr:rowOff>9525</xdr:rowOff>
                  </from>
                  <to>
                    <xdr:col>4</xdr:col>
                    <xdr:colOff>533400</xdr:colOff>
                    <xdr:row>16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19" r:id="rId9" name="Check Box 7">
              <controlPr defaultSize="0" autoFill="0" autoLine="0" autoPict="0">
                <anchor moveWithCells="1">
                  <from>
                    <xdr:col>1</xdr:col>
                    <xdr:colOff>57150</xdr:colOff>
                    <xdr:row>7</xdr:row>
                    <xdr:rowOff>161925</xdr:rowOff>
                  </from>
                  <to>
                    <xdr:col>6</xdr:col>
                    <xdr:colOff>819150</xdr:colOff>
                    <xdr:row>8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20" r:id="rId10" name="Check Box 8">
              <controlPr defaultSize="0" autoFill="0" autoLine="0" autoPict="0">
                <anchor moveWithCells="1">
                  <from>
                    <xdr:col>1</xdr:col>
                    <xdr:colOff>57150</xdr:colOff>
                    <xdr:row>16</xdr:row>
                    <xdr:rowOff>38100</xdr:rowOff>
                  </from>
                  <to>
                    <xdr:col>4</xdr:col>
                    <xdr:colOff>533400</xdr:colOff>
                    <xdr:row>17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21" r:id="rId11" name="Check Box 9">
              <controlPr locked="0" defaultSize="0" autoFill="0" autoLine="0" autoPict="0">
                <anchor moveWithCells="1">
                  <from>
                    <xdr:col>1</xdr:col>
                    <xdr:colOff>57150</xdr:colOff>
                    <xdr:row>6</xdr:row>
                    <xdr:rowOff>142875</xdr:rowOff>
                  </from>
                  <to>
                    <xdr:col>6</xdr:col>
                    <xdr:colOff>819150</xdr:colOff>
                    <xdr:row>7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22" r:id="rId12" name="Check Box 10">
              <controlPr defaultSize="0" autoFill="0" autoLine="0" autoPict="0">
                <anchor moveWithCells="1">
                  <from>
                    <xdr:col>1</xdr:col>
                    <xdr:colOff>57150</xdr:colOff>
                    <xdr:row>17</xdr:row>
                    <xdr:rowOff>66675</xdr:rowOff>
                  </from>
                  <to>
                    <xdr:col>7</xdr:col>
                    <xdr:colOff>1038225</xdr:colOff>
                    <xdr:row>18</xdr:row>
                    <xdr:rowOff>161925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5A4718-D69F-4C6C-948D-E6CBA6158096}">
  <sheetPr codeName="Munka12">
    <tabColor rgb="FF00B0F0"/>
  </sheetPr>
  <dimension ref="A1:Y32"/>
  <sheetViews>
    <sheetView showGridLines="0" showRowColHeaders="0" workbookViewId="0">
      <selection activeCell="U12" sqref="U12"/>
    </sheetView>
  </sheetViews>
  <sheetFormatPr defaultRowHeight="15" x14ac:dyDescent="0.25"/>
  <cols>
    <col min="2" max="7" width="17.42578125" bestFit="1" customWidth="1"/>
    <col min="12" max="12" width="12.28515625" customWidth="1"/>
    <col min="14" max="14" width="4.28515625" customWidth="1"/>
    <col min="18" max="18" width="4.85546875" customWidth="1"/>
    <col min="25" max="25" width="6.85546875" style="66" hidden="1" customWidth="1"/>
  </cols>
  <sheetData>
    <row r="1" spans="1:25" x14ac:dyDescent="0.25">
      <c r="A1" s="48"/>
      <c r="B1" s="48"/>
      <c r="C1" s="48"/>
    </row>
    <row r="2" spans="1:25" x14ac:dyDescent="0.25">
      <c r="A2" s="48"/>
      <c r="B2" s="48"/>
      <c r="C2" s="48"/>
    </row>
    <row r="4" spans="1:25" x14ac:dyDescent="0.25">
      <c r="B4" s="248" t="s">
        <v>9</v>
      </c>
      <c r="C4" s="249"/>
      <c r="D4" s="249"/>
      <c r="E4" s="249"/>
      <c r="F4" s="249"/>
      <c r="G4" s="249"/>
      <c r="H4" s="250"/>
      <c r="J4" s="149" t="s">
        <v>35</v>
      </c>
      <c r="K4" s="150"/>
      <c r="L4" s="151"/>
      <c r="N4" s="149" t="s">
        <v>65</v>
      </c>
      <c r="O4" s="150"/>
      <c r="P4" s="150"/>
      <c r="Q4" s="150"/>
      <c r="R4" s="150"/>
      <c r="S4" s="151"/>
    </row>
    <row r="5" spans="1:25" x14ac:dyDescent="0.25">
      <c r="B5" s="251"/>
      <c r="C5" s="252"/>
      <c r="D5" s="252"/>
      <c r="E5" s="252"/>
      <c r="F5" s="252"/>
      <c r="G5" s="252"/>
      <c r="H5" s="253"/>
      <c r="J5" s="152"/>
      <c r="K5" s="153" t="b">
        <v>0</v>
      </c>
      <c r="L5" s="154"/>
      <c r="N5" s="152"/>
      <c r="O5" s="153"/>
      <c r="P5" s="153"/>
      <c r="Q5" s="153"/>
      <c r="R5" s="153"/>
      <c r="S5" s="154"/>
    </row>
    <row r="6" spans="1:25" x14ac:dyDescent="0.25">
      <c r="B6" s="254" t="s">
        <v>64</v>
      </c>
      <c r="C6" s="255"/>
      <c r="D6" s="255"/>
      <c r="E6" s="255"/>
      <c r="F6" s="255"/>
      <c r="G6" s="255"/>
      <c r="H6" s="255"/>
      <c r="J6" s="259" t="s">
        <v>92</v>
      </c>
      <c r="K6" s="259"/>
      <c r="L6" s="259"/>
      <c r="N6" s="148" t="s">
        <v>86</v>
      </c>
      <c r="O6" s="148"/>
      <c r="P6" s="148"/>
      <c r="Q6" s="148"/>
      <c r="R6" s="148"/>
      <c r="S6" s="148"/>
      <c r="Y6" s="66" t="b">
        <v>0</v>
      </c>
    </row>
    <row r="7" spans="1:25" x14ac:dyDescent="0.25">
      <c r="B7" s="13"/>
      <c r="C7" s="14"/>
      <c r="D7" s="14"/>
      <c r="E7" s="14"/>
      <c r="F7" s="14"/>
      <c r="G7" s="14"/>
      <c r="H7" s="15"/>
      <c r="J7" s="259"/>
      <c r="K7" s="259"/>
      <c r="L7" s="259"/>
      <c r="N7" s="148" t="s">
        <v>73</v>
      </c>
      <c r="O7" s="148"/>
      <c r="P7" s="148"/>
      <c r="Q7" s="148"/>
      <c r="R7" s="148"/>
      <c r="S7" s="148"/>
      <c r="Y7" s="66" t="b">
        <v>0</v>
      </c>
    </row>
    <row r="8" spans="1:25" x14ac:dyDescent="0.25">
      <c r="B8" s="6"/>
      <c r="C8" s="7"/>
      <c r="D8" s="7"/>
      <c r="E8" s="7"/>
      <c r="F8" s="7"/>
      <c r="G8" s="7"/>
      <c r="H8" s="8"/>
      <c r="J8" s="259"/>
      <c r="K8" s="259"/>
      <c r="L8" s="259"/>
      <c r="N8" s="257" t="s">
        <v>56</v>
      </c>
      <c r="O8" s="257"/>
      <c r="P8" s="257"/>
      <c r="Q8" s="257"/>
      <c r="R8" s="257"/>
      <c r="S8" s="257"/>
      <c r="Y8" s="66" t="b">
        <v>0</v>
      </c>
    </row>
    <row r="9" spans="1:25" x14ac:dyDescent="0.25">
      <c r="B9" s="6"/>
      <c r="C9" s="7"/>
      <c r="D9" s="7"/>
      <c r="E9" s="7"/>
      <c r="F9" s="7"/>
      <c r="G9" s="7"/>
      <c r="H9" s="8"/>
      <c r="J9" s="259"/>
      <c r="K9" s="259"/>
      <c r="L9" s="259"/>
      <c r="N9" s="257"/>
      <c r="O9" s="257"/>
      <c r="P9" s="257"/>
      <c r="Q9" s="257"/>
      <c r="R9" s="257"/>
      <c r="S9" s="257"/>
      <c r="Y9" s="66" t="b">
        <v>0</v>
      </c>
    </row>
    <row r="10" spans="1:25" x14ac:dyDescent="0.25">
      <c r="B10" s="6"/>
      <c r="C10" s="7"/>
      <c r="D10" s="7"/>
      <c r="E10" s="7"/>
      <c r="F10" s="7"/>
      <c r="G10" s="7"/>
      <c r="H10" s="8"/>
      <c r="J10" s="259"/>
      <c r="K10" s="259"/>
      <c r="L10" s="259"/>
      <c r="N10" s="257" t="s">
        <v>87</v>
      </c>
      <c r="O10" s="257"/>
      <c r="P10" s="257"/>
      <c r="Q10" s="257"/>
      <c r="R10" s="257"/>
      <c r="S10" s="257"/>
      <c r="Y10" s="66" t="b">
        <v>0</v>
      </c>
    </row>
    <row r="11" spans="1:25" x14ac:dyDescent="0.25">
      <c r="B11" s="6"/>
      <c r="C11" s="7"/>
      <c r="D11" s="7"/>
      <c r="E11" s="7"/>
      <c r="F11" s="7"/>
      <c r="G11" s="7"/>
      <c r="H11" s="8"/>
      <c r="J11" s="259"/>
      <c r="K11" s="259"/>
      <c r="L11" s="259"/>
      <c r="N11" s="257"/>
      <c r="O11" s="257"/>
      <c r="P11" s="257"/>
      <c r="Q11" s="257"/>
      <c r="R11" s="257"/>
      <c r="S11" s="257"/>
    </row>
    <row r="12" spans="1:25" x14ac:dyDescent="0.25">
      <c r="B12" s="6"/>
      <c r="C12" s="7"/>
      <c r="D12" s="7"/>
      <c r="E12" s="7"/>
      <c r="F12" s="7"/>
      <c r="G12" s="7"/>
      <c r="H12" s="8"/>
      <c r="J12" s="259"/>
      <c r="K12" s="259"/>
      <c r="L12" s="259"/>
      <c r="N12" s="148" t="s">
        <v>57</v>
      </c>
      <c r="O12" s="148"/>
      <c r="P12" s="148"/>
      <c r="Q12" s="148"/>
      <c r="R12" s="148"/>
      <c r="S12" s="148"/>
    </row>
    <row r="13" spans="1:25" x14ac:dyDescent="0.25">
      <c r="B13" s="6"/>
      <c r="C13" s="7"/>
      <c r="D13" s="7"/>
      <c r="E13" s="7"/>
      <c r="F13" s="7"/>
      <c r="G13" s="7"/>
      <c r="H13" s="8"/>
      <c r="J13" s="259"/>
      <c r="K13" s="259"/>
      <c r="L13" s="259"/>
      <c r="N13" s="257" t="str">
        <f>IF(OR(Y10,Y9)=TRUE,"Felmentési kérelemhez: képesítő okmány, vizsgajegyzőkönyv, leckekönyv vagy tanterv","")</f>
        <v/>
      </c>
      <c r="O13" s="257"/>
      <c r="P13" s="257"/>
      <c r="Q13" s="257"/>
      <c r="R13" s="257"/>
      <c r="S13" s="257"/>
    </row>
    <row r="14" spans="1:25" x14ac:dyDescent="0.25">
      <c r="B14" s="6"/>
      <c r="C14" s="7"/>
      <c r="D14" s="7"/>
      <c r="E14" s="7"/>
      <c r="F14" s="7"/>
      <c r="G14" s="7"/>
      <c r="H14" s="8"/>
      <c r="J14" s="259"/>
      <c r="K14" s="259"/>
      <c r="L14" s="259"/>
      <c r="N14" s="257"/>
      <c r="O14" s="257"/>
      <c r="P14" s="257"/>
      <c r="Q14" s="257"/>
      <c r="R14" s="257"/>
      <c r="S14" s="257"/>
    </row>
    <row r="15" spans="1:25" x14ac:dyDescent="0.25">
      <c r="B15" s="9"/>
      <c r="C15" s="10"/>
      <c r="D15" s="10"/>
      <c r="E15" s="10"/>
      <c r="F15" s="10"/>
      <c r="G15" s="10"/>
      <c r="H15" s="11"/>
      <c r="J15" s="259"/>
      <c r="K15" s="259"/>
      <c r="L15" s="259"/>
      <c r="N15" s="257" t="str">
        <f>IF(OR(Y6:Y8,Y9,Y10)=TRUE,"","Legalább alapfokú iskolai végzettség igazolása")</f>
        <v>Legalább alapfokú iskolai végzettség igazolása</v>
      </c>
      <c r="O15" s="257"/>
      <c r="P15" s="257"/>
      <c r="Q15" s="257"/>
      <c r="R15" s="257"/>
      <c r="S15" s="257"/>
    </row>
    <row r="16" spans="1:25" x14ac:dyDescent="0.25">
      <c r="N16" s="257"/>
      <c r="O16" s="257"/>
      <c r="P16" s="257"/>
      <c r="Q16" s="257"/>
      <c r="R16" s="257"/>
      <c r="S16" s="257"/>
    </row>
    <row r="17" spans="2:19" ht="15.75" x14ac:dyDescent="0.25">
      <c r="B17" s="265" t="s">
        <v>37</v>
      </c>
      <c r="C17" s="266"/>
      <c r="D17" s="266"/>
      <c r="E17" s="266"/>
      <c r="F17" s="266"/>
      <c r="G17" s="267"/>
      <c r="H17" s="2"/>
      <c r="J17" s="125" t="s">
        <v>43</v>
      </c>
      <c r="K17" s="125"/>
      <c r="L17" s="53" t="s">
        <v>78</v>
      </c>
      <c r="N17" s="45"/>
      <c r="O17" s="45"/>
      <c r="P17" s="45"/>
      <c r="Q17" s="45"/>
      <c r="R17" s="45"/>
      <c r="S17" s="45"/>
    </row>
    <row r="18" spans="2:19" ht="16.5" customHeight="1" x14ac:dyDescent="0.25">
      <c r="B18" s="263" t="s">
        <v>88</v>
      </c>
      <c r="C18" s="263" t="s">
        <v>89</v>
      </c>
      <c r="D18" s="263" t="s">
        <v>71</v>
      </c>
      <c r="E18" s="263" t="s">
        <v>90</v>
      </c>
      <c r="F18" s="263" t="s">
        <v>84</v>
      </c>
      <c r="G18" s="263" t="s">
        <v>91</v>
      </c>
      <c r="H18" s="18"/>
      <c r="I18" s="18"/>
      <c r="J18" s="258">
        <f>SUM(B29:G29)</f>
        <v>113700</v>
      </c>
      <c r="K18" s="258"/>
      <c r="L18" s="131">
        <f>Kezdőlap!E41</f>
        <v>7300</v>
      </c>
      <c r="N18" s="257" t="str">
        <f>IF(Y9=TRUE,"Hajózási szakképzésben szerzett képesítő bizonyítványként azt a képesítő okmányt lehet elfogadni, amelyet olyan oktatási intézmény adott ki, amelynek tanterve a hajózási hatóság által jóváhagyott szakmai oktatási programot tartalmazza","")</f>
        <v/>
      </c>
      <c r="O18" s="257"/>
      <c r="P18" s="257"/>
      <c r="Q18" s="257"/>
      <c r="R18" s="257"/>
      <c r="S18" s="257"/>
    </row>
    <row r="19" spans="2:19" x14ac:dyDescent="0.25">
      <c r="B19" s="263"/>
      <c r="C19" s="263"/>
      <c r="D19" s="263"/>
      <c r="E19" s="263"/>
      <c r="F19" s="263"/>
      <c r="G19" s="263"/>
      <c r="J19" s="258"/>
      <c r="K19" s="258"/>
      <c r="L19" s="131"/>
      <c r="N19" s="257"/>
      <c r="O19" s="257"/>
      <c r="P19" s="257"/>
      <c r="Q19" s="257"/>
      <c r="R19" s="257"/>
      <c r="S19" s="257"/>
    </row>
    <row r="20" spans="2:19" x14ac:dyDescent="0.25">
      <c r="B20" s="263"/>
      <c r="C20" s="263"/>
      <c r="D20" s="263"/>
      <c r="E20" s="263"/>
      <c r="F20" s="263"/>
      <c r="G20" s="263"/>
      <c r="J20" s="258"/>
      <c r="K20" s="258"/>
      <c r="L20" s="131"/>
      <c r="N20" s="257"/>
      <c r="O20" s="257"/>
      <c r="P20" s="257"/>
      <c r="Q20" s="257"/>
      <c r="R20" s="257"/>
      <c r="S20" s="257"/>
    </row>
    <row r="21" spans="2:19" x14ac:dyDescent="0.25">
      <c r="B21" s="263"/>
      <c r="C21" s="263"/>
      <c r="D21" s="263"/>
      <c r="E21" s="263"/>
      <c r="F21" s="263"/>
      <c r="G21" s="263"/>
      <c r="J21" s="258"/>
      <c r="K21" s="258"/>
      <c r="L21" s="131"/>
      <c r="N21" s="257"/>
      <c r="O21" s="257"/>
      <c r="P21" s="257"/>
      <c r="Q21" s="257"/>
      <c r="R21" s="257"/>
      <c r="S21" s="257"/>
    </row>
    <row r="22" spans="2:19" x14ac:dyDescent="0.25">
      <c r="B22" s="263"/>
      <c r="C22" s="263"/>
      <c r="D22" s="263"/>
      <c r="E22" s="263"/>
      <c r="F22" s="263"/>
      <c r="G22" s="263"/>
      <c r="J22" s="258"/>
      <c r="K22" s="258"/>
      <c r="L22" s="131"/>
      <c r="N22" s="257"/>
      <c r="O22" s="257"/>
      <c r="P22" s="257"/>
      <c r="Q22" s="257"/>
      <c r="R22" s="257"/>
      <c r="S22" s="257"/>
    </row>
    <row r="23" spans="2:19" x14ac:dyDescent="0.25">
      <c r="B23" s="263"/>
      <c r="C23" s="263"/>
      <c r="D23" s="263"/>
      <c r="E23" s="263"/>
      <c r="F23" s="263"/>
      <c r="G23" s="263"/>
      <c r="J23" s="258"/>
      <c r="K23" s="258"/>
      <c r="L23" s="131"/>
      <c r="N23" s="257"/>
      <c r="O23" s="257"/>
      <c r="P23" s="257"/>
      <c r="Q23" s="257"/>
      <c r="R23" s="257"/>
      <c r="S23" s="257"/>
    </row>
    <row r="24" spans="2:19" x14ac:dyDescent="0.25">
      <c r="B24" s="263"/>
      <c r="C24" s="263"/>
      <c r="D24" s="263"/>
      <c r="E24" s="263"/>
      <c r="F24" s="263"/>
      <c r="G24" s="263"/>
      <c r="J24" s="258"/>
      <c r="K24" s="258"/>
      <c r="L24" s="131"/>
      <c r="N24" s="257"/>
      <c r="O24" s="257"/>
      <c r="P24" s="257"/>
      <c r="Q24" s="257"/>
      <c r="R24" s="257"/>
      <c r="S24" s="257"/>
    </row>
    <row r="25" spans="2:19" x14ac:dyDescent="0.25">
      <c r="B25" s="263"/>
      <c r="C25" s="263"/>
      <c r="D25" s="263"/>
      <c r="E25" s="263"/>
      <c r="F25" s="263"/>
      <c r="G25" s="263"/>
      <c r="N25" s="257"/>
      <c r="O25" s="257"/>
      <c r="P25" s="257"/>
      <c r="Q25" s="257"/>
      <c r="R25" s="257"/>
      <c r="S25" s="257"/>
    </row>
    <row r="26" spans="2:19" x14ac:dyDescent="0.25">
      <c r="B26" s="263"/>
      <c r="C26" s="263"/>
      <c r="D26" s="263"/>
      <c r="E26" s="263"/>
      <c r="F26" s="263"/>
      <c r="G26" s="263"/>
      <c r="N26" s="257"/>
      <c r="O26" s="257"/>
      <c r="P26" s="257"/>
      <c r="Q26" s="257"/>
      <c r="R26" s="257"/>
      <c r="S26" s="257"/>
    </row>
    <row r="27" spans="2:19" x14ac:dyDescent="0.25">
      <c r="B27" s="263"/>
      <c r="C27" s="263"/>
      <c r="D27" s="263"/>
      <c r="E27" s="263"/>
      <c r="F27" s="263"/>
      <c r="G27" s="263"/>
    </row>
    <row r="28" spans="2:19" ht="15.75" x14ac:dyDescent="0.25">
      <c r="B28" s="16" t="str">
        <f>IF(B29=0,"Felmentés",IF(OR(Y10,Y9)=TRUE,"Felmentés/vizsga","Vizsga"))</f>
        <v>Vizsga</v>
      </c>
      <c r="C28" s="16" t="str">
        <f>IF(C29=0,"Felmentés",IF(OR(Y10,Y9)=TRUE,"Felmentés/vizsga","Vizsga"))</f>
        <v>Vizsga</v>
      </c>
      <c r="D28" s="16" t="str">
        <f>IF(D29=0,"Felmentés",IF(OR(Y10,Y9)=TRUE,"Felmentés/vizsga","Vizsga"))</f>
        <v>Vizsga</v>
      </c>
      <c r="E28" s="16" t="str">
        <f>IF(E29=0,"Felmentés",IF(OR(Y10,Y9)=TRUE,"Felmentés/vizsga","Vizsga"))</f>
        <v>Vizsga</v>
      </c>
      <c r="F28" s="16" t="str">
        <f>IF(F29=0,"Felmentés",IF(OR(Y10,Y9)=TRUE,"Felmentés/vizsga","Vizsga"))</f>
        <v>Vizsga</v>
      </c>
      <c r="G28" s="16" t="str">
        <f>IF(G29=0,"Felmentés",IF(OR(Y10,Y9)=TRUE,"Felmentés/vizsga","Vizsga"))</f>
        <v>Vizsga</v>
      </c>
      <c r="N28" s="213" t="s">
        <v>279</v>
      </c>
      <c r="O28" s="214"/>
      <c r="P28" s="214"/>
      <c r="Q28" s="214"/>
      <c r="R28" s="214"/>
      <c r="S28" s="215"/>
    </row>
    <row r="29" spans="2:19" ht="15.75" x14ac:dyDescent="0.25">
      <c r="B29" s="39">
        <f>IF(Y6=TRUE,0,IF(Y7=TRUE,0,Kezdőlap!E36))</f>
        <v>12000</v>
      </c>
      <c r="C29" s="39">
        <f>IF(Y7=TRUE,0,IF(Y6=TRUE,0,Kezdőlap!E37))</f>
        <v>19400</v>
      </c>
      <c r="D29" s="39">
        <f>IF(OR(Y6,Y7,Y8)=TRUE,0,Kezdőlap!E36)</f>
        <v>12000</v>
      </c>
      <c r="E29" s="39">
        <f>Kezdőlap!E37</f>
        <v>19400</v>
      </c>
      <c r="F29" s="39">
        <f>IF(Y7=TRUE,0,Kezdőlap!E37)</f>
        <v>19400</v>
      </c>
      <c r="G29" s="39">
        <f>Kezdőlap!E40</f>
        <v>31500</v>
      </c>
      <c r="N29" s="216"/>
      <c r="O29" s="217"/>
      <c r="P29" s="217"/>
      <c r="Q29" s="217"/>
      <c r="R29" s="217"/>
      <c r="S29" s="218"/>
    </row>
    <row r="30" spans="2:19" x14ac:dyDescent="0.25">
      <c r="N30" s="216"/>
      <c r="O30" s="217"/>
      <c r="P30" s="217"/>
      <c r="Q30" s="217"/>
      <c r="R30" s="217"/>
      <c r="S30" s="218"/>
    </row>
    <row r="31" spans="2:19" x14ac:dyDescent="0.25">
      <c r="N31" s="216"/>
      <c r="O31" s="217"/>
      <c r="P31" s="217"/>
      <c r="Q31" s="217"/>
      <c r="R31" s="217"/>
      <c r="S31" s="218"/>
    </row>
    <row r="32" spans="2:19" x14ac:dyDescent="0.25">
      <c r="N32" s="219"/>
      <c r="O32" s="220"/>
      <c r="P32" s="220"/>
      <c r="Q32" s="220"/>
      <c r="R32" s="220"/>
      <c r="S32" s="221"/>
    </row>
  </sheetData>
  <sheetProtection sheet="1" objects="1" scenarios="1" selectLockedCells="1"/>
  <mergeCells count="24">
    <mergeCell ref="N28:S32"/>
    <mergeCell ref="J4:L5"/>
    <mergeCell ref="J6:L15"/>
    <mergeCell ref="B17:G17"/>
    <mergeCell ref="B18:B27"/>
    <mergeCell ref="C18:C27"/>
    <mergeCell ref="D18:D27"/>
    <mergeCell ref="E18:E27"/>
    <mergeCell ref="F18:F27"/>
    <mergeCell ref="G18:G27"/>
    <mergeCell ref="J18:K24"/>
    <mergeCell ref="L18:L24"/>
    <mergeCell ref="B4:H5"/>
    <mergeCell ref="B6:H6"/>
    <mergeCell ref="N4:S5"/>
    <mergeCell ref="N6:S6"/>
    <mergeCell ref="J17:K17"/>
    <mergeCell ref="N7:S7"/>
    <mergeCell ref="N8:S9"/>
    <mergeCell ref="N10:S11"/>
    <mergeCell ref="N18:S26"/>
    <mergeCell ref="N12:S12"/>
    <mergeCell ref="N13:S14"/>
    <mergeCell ref="N15:S16"/>
  </mergeCells>
  <conditionalFormatting sqref="B28:G28">
    <cfRule type="containsText" dxfId="52" priority="1" operator="containsText" text="Vizsga">
      <formula>NOT(ISERROR(SEARCH("Vizsga",B28)))</formula>
    </cfRule>
  </conditionalFormatting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5361" r:id="rId3" name="Check Box 1">
              <controlPr defaultSize="0" autoFill="0" autoLine="0" autoPict="0">
                <anchor moveWithCells="1">
                  <from>
                    <xdr:col>1</xdr:col>
                    <xdr:colOff>57150</xdr:colOff>
                    <xdr:row>9</xdr:row>
                    <xdr:rowOff>95250</xdr:rowOff>
                  </from>
                  <to>
                    <xdr:col>4</xdr:col>
                    <xdr:colOff>504825</xdr:colOff>
                    <xdr:row>10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62" r:id="rId4" name="Check Box 2">
              <controlPr defaultSize="0" autoFill="0" autoLine="0" autoPict="0">
                <anchor moveWithCells="1">
                  <from>
                    <xdr:col>1</xdr:col>
                    <xdr:colOff>57150</xdr:colOff>
                    <xdr:row>7</xdr:row>
                    <xdr:rowOff>180975</xdr:rowOff>
                  </from>
                  <to>
                    <xdr:col>4</xdr:col>
                    <xdr:colOff>390525</xdr:colOff>
                    <xdr:row>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63" r:id="rId5" name="Check Box 3">
              <controlPr defaultSize="0" autoFill="0" autoLine="0" autoPict="0">
                <anchor moveWithCells="1">
                  <from>
                    <xdr:col>1</xdr:col>
                    <xdr:colOff>57150</xdr:colOff>
                    <xdr:row>6</xdr:row>
                    <xdr:rowOff>0</xdr:rowOff>
                  </from>
                  <to>
                    <xdr:col>5</xdr:col>
                    <xdr:colOff>866775</xdr:colOff>
                    <xdr:row>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64" r:id="rId6" name="Check Box 4">
              <controlPr defaultSize="0" autoFill="0" autoLine="0" autoPict="0">
                <anchor moveWithCells="1">
                  <from>
                    <xdr:col>1</xdr:col>
                    <xdr:colOff>57150</xdr:colOff>
                    <xdr:row>10</xdr:row>
                    <xdr:rowOff>142875</xdr:rowOff>
                  </from>
                  <to>
                    <xdr:col>7</xdr:col>
                    <xdr:colOff>276225</xdr:colOff>
                    <xdr:row>12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65" r:id="rId7" name="Check Box 5">
              <controlPr defaultSize="0" autoFill="0" autoLine="0" autoPict="0">
                <anchor moveWithCells="1">
                  <from>
                    <xdr:col>1</xdr:col>
                    <xdr:colOff>57150</xdr:colOff>
                    <xdr:row>12</xdr:row>
                    <xdr:rowOff>95250</xdr:rowOff>
                  </from>
                  <to>
                    <xdr:col>6</xdr:col>
                    <xdr:colOff>676275</xdr:colOff>
                    <xdr:row>13</xdr:row>
                    <xdr:rowOff>133350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AB66CC-4D08-4494-9D9E-2E52219EC85B}">
  <sheetPr codeName="Munka13">
    <tabColor rgb="FF00B0F0"/>
  </sheetPr>
  <dimension ref="B4:Z36"/>
  <sheetViews>
    <sheetView showGridLines="0" showRowColHeaders="0" workbookViewId="0">
      <selection activeCell="G2" sqref="G2"/>
    </sheetView>
  </sheetViews>
  <sheetFormatPr defaultRowHeight="15" x14ac:dyDescent="0.25"/>
  <cols>
    <col min="2" max="7" width="17.5703125" bestFit="1" customWidth="1"/>
    <col min="8" max="8" width="9.7109375" bestFit="1" customWidth="1"/>
    <col min="12" max="12" width="10.5703125" bestFit="1" customWidth="1"/>
    <col min="26" max="26" width="9.140625" style="66" hidden="1" customWidth="1"/>
  </cols>
  <sheetData>
    <row r="4" spans="2:26" x14ac:dyDescent="0.25">
      <c r="B4" s="248" t="s">
        <v>10</v>
      </c>
      <c r="C4" s="249"/>
      <c r="D4" s="249"/>
      <c r="E4" s="249"/>
      <c r="F4" s="249"/>
      <c r="G4" s="249"/>
      <c r="H4" s="250"/>
      <c r="J4" s="149" t="s">
        <v>35</v>
      </c>
      <c r="K4" s="150"/>
      <c r="L4" s="150"/>
      <c r="M4" s="151"/>
      <c r="O4" s="149" t="s">
        <v>65</v>
      </c>
      <c r="P4" s="150"/>
      <c r="Q4" s="150"/>
      <c r="R4" s="150"/>
      <c r="S4" s="150"/>
      <c r="T4" s="151"/>
    </row>
    <row r="5" spans="2:26" x14ac:dyDescent="0.25">
      <c r="B5" s="251"/>
      <c r="C5" s="252"/>
      <c r="D5" s="252"/>
      <c r="E5" s="252"/>
      <c r="F5" s="252"/>
      <c r="G5" s="252"/>
      <c r="H5" s="253"/>
      <c r="J5" s="152"/>
      <c r="K5" s="153"/>
      <c r="L5" s="153"/>
      <c r="M5" s="154"/>
      <c r="O5" s="152"/>
      <c r="P5" s="153"/>
      <c r="Q5" s="153"/>
      <c r="R5" s="153"/>
      <c r="S5" s="153"/>
      <c r="T5" s="154"/>
    </row>
    <row r="6" spans="2:26" x14ac:dyDescent="0.25">
      <c r="B6" s="254" t="s">
        <v>64</v>
      </c>
      <c r="C6" s="255"/>
      <c r="D6" s="255"/>
      <c r="E6" s="255"/>
      <c r="F6" s="255"/>
      <c r="G6" s="255"/>
      <c r="H6" s="256"/>
      <c r="J6" s="257" t="str">
        <f>IF(Z16=TRUE,""," legalább 12 hónap hajózási gyakorlat a fedélzeti személyzet tagjaként és jóváhagyott hajóvezetői képzés sikeres elvégzésének igazolása")</f>
        <v xml:space="preserve"> legalább 12 hónap hajózási gyakorlat a fedélzeti személyzet tagjaként és jóváhagyott hajóvezetői képzés sikeres elvégzésének igazolása</v>
      </c>
      <c r="K6" s="257"/>
      <c r="L6" s="257"/>
      <c r="M6" s="257"/>
      <c r="O6" s="148" t="str">
        <f>IF(J25&gt;0,"Írásos vizsgajelentkezési/felmentési kérelem","Okmányigénylés")</f>
        <v>Írásos vizsgajelentkezési/felmentési kérelem</v>
      </c>
      <c r="P6" s="148"/>
      <c r="Q6" s="148"/>
      <c r="R6" s="148"/>
      <c r="S6" s="148"/>
      <c r="T6" s="148"/>
      <c r="Z6" s="66" t="b">
        <v>0</v>
      </c>
    </row>
    <row r="7" spans="2:26" x14ac:dyDescent="0.25">
      <c r="B7" s="13"/>
      <c r="C7" s="14"/>
      <c r="D7" s="14"/>
      <c r="E7" s="14"/>
      <c r="F7" s="14"/>
      <c r="G7" s="14"/>
      <c r="H7" s="15"/>
      <c r="J7" s="257"/>
      <c r="K7" s="257"/>
      <c r="L7" s="257"/>
      <c r="M7" s="257"/>
      <c r="O7" s="148" t="s">
        <v>55</v>
      </c>
      <c r="P7" s="148"/>
      <c r="Q7" s="148"/>
      <c r="R7" s="148"/>
      <c r="S7" s="148"/>
      <c r="T7" s="148"/>
      <c r="Z7" s="66" t="b">
        <v>0</v>
      </c>
    </row>
    <row r="8" spans="2:26" x14ac:dyDescent="0.25">
      <c r="B8" s="6"/>
      <c r="C8" s="7"/>
      <c r="D8" s="7"/>
      <c r="E8" s="7"/>
      <c r="F8" s="7"/>
      <c r="G8" s="7"/>
      <c r="H8" s="8"/>
      <c r="J8" s="257"/>
      <c r="K8" s="257"/>
      <c r="L8" s="257"/>
      <c r="M8" s="257"/>
      <c r="O8" s="148" t="s">
        <v>73</v>
      </c>
      <c r="P8" s="148"/>
      <c r="Q8" s="148"/>
      <c r="R8" s="148"/>
      <c r="S8" s="148"/>
      <c r="T8" s="148"/>
      <c r="Z8" s="66" t="b">
        <v>0</v>
      </c>
    </row>
    <row r="9" spans="2:26" x14ac:dyDescent="0.25">
      <c r="B9" s="6"/>
      <c r="C9" s="7"/>
      <c r="D9" s="7"/>
      <c r="E9" s="7"/>
      <c r="F9" s="7"/>
      <c r="G9" s="7"/>
      <c r="H9" s="8"/>
      <c r="J9" s="257"/>
      <c r="K9" s="257"/>
      <c r="L9" s="257"/>
      <c r="M9" s="257"/>
      <c r="O9" s="148" t="s">
        <v>93</v>
      </c>
      <c r="P9" s="148"/>
      <c r="Q9" s="148"/>
      <c r="R9" s="148"/>
      <c r="S9" s="148"/>
      <c r="T9" s="148"/>
      <c r="Z9" s="66" t="b">
        <v>0</v>
      </c>
    </row>
    <row r="10" spans="2:26" x14ac:dyDescent="0.25">
      <c r="B10" s="6"/>
      <c r="C10" s="7"/>
      <c r="D10" s="7"/>
      <c r="E10" s="7"/>
      <c r="F10" s="7"/>
      <c r="G10" s="7"/>
      <c r="H10" s="8"/>
      <c r="J10" s="257"/>
      <c r="K10" s="257"/>
      <c r="L10" s="257"/>
      <c r="M10" s="257"/>
      <c r="O10" s="148" t="s">
        <v>75</v>
      </c>
      <c r="P10" s="148"/>
      <c r="Q10" s="148"/>
      <c r="R10" s="148"/>
      <c r="S10" s="148"/>
      <c r="T10" s="148"/>
      <c r="Z10" s="66" t="b">
        <v>0</v>
      </c>
    </row>
    <row r="11" spans="2:26" x14ac:dyDescent="0.25">
      <c r="B11" s="6"/>
      <c r="C11" s="7"/>
      <c r="D11" s="7"/>
      <c r="E11" s="7"/>
      <c r="F11" s="7"/>
      <c r="G11" s="7"/>
      <c r="H11" s="8"/>
      <c r="J11" s="257"/>
      <c r="K11" s="257"/>
      <c r="L11" s="257"/>
      <c r="M11" s="257"/>
      <c r="O11" s="148" t="s">
        <v>94</v>
      </c>
      <c r="P11" s="148"/>
      <c r="Q11" s="148"/>
      <c r="R11" s="148"/>
      <c r="S11" s="148"/>
      <c r="T11" s="148"/>
      <c r="Z11" s="66" t="b">
        <v>0</v>
      </c>
    </row>
    <row r="12" spans="2:26" x14ac:dyDescent="0.25">
      <c r="B12" s="6"/>
      <c r="C12" s="7"/>
      <c r="D12" s="7"/>
      <c r="E12" s="7"/>
      <c r="F12" s="7"/>
      <c r="G12" s="7"/>
      <c r="H12" s="8"/>
      <c r="J12" s="268" t="str">
        <f>IF(Z16=TRUE,"","vagy")</f>
        <v>vagy</v>
      </c>
      <c r="K12" s="268"/>
      <c r="L12" s="268"/>
      <c r="M12" s="268"/>
      <c r="O12" s="257" t="str">
        <f>IF(Z16=TRUE,"","A vizsgaközpont által lebonyolított „C” kategóriájú hajóvezetői vizsga sikeres teljesítése")</f>
        <v>A vizsgaközpont által lebonyolított „C” kategóriájú hajóvezetői vizsga sikeres teljesítése</v>
      </c>
      <c r="P12" s="257"/>
      <c r="Q12" s="257"/>
      <c r="R12" s="257"/>
      <c r="S12" s="257"/>
      <c r="T12" s="257"/>
      <c r="Z12" s="66" t="b">
        <v>0</v>
      </c>
    </row>
    <row r="13" spans="2:26" x14ac:dyDescent="0.25">
      <c r="B13" s="6"/>
      <c r="C13" s="7"/>
      <c r="D13" s="7"/>
      <c r="E13" s="7"/>
      <c r="F13" s="7"/>
      <c r="G13" s="7"/>
      <c r="H13" s="8"/>
      <c r="J13" s="257" t="str">
        <f>IF(Z16=TRUE,"","egyéni felkészülés mellett legalább 18 hónap hajózási gyakorlat a fedélzeti személyzet tagjaként")</f>
        <v>egyéni felkészülés mellett legalább 18 hónap hajózási gyakorlat a fedélzeti személyzet tagjaként</v>
      </c>
      <c r="K13" s="257"/>
      <c r="L13" s="257"/>
      <c r="M13" s="257"/>
      <c r="O13" s="257"/>
      <c r="P13" s="257"/>
      <c r="Q13" s="257"/>
      <c r="R13" s="257"/>
      <c r="S13" s="257"/>
      <c r="T13" s="257"/>
      <c r="Z13" s="66" t="b">
        <v>0</v>
      </c>
    </row>
    <row r="14" spans="2:26" x14ac:dyDescent="0.25">
      <c r="B14" s="6"/>
      <c r="C14" s="7"/>
      <c r="D14" s="7"/>
      <c r="E14" s="7"/>
      <c r="F14" s="7"/>
      <c r="G14" s="7"/>
      <c r="H14" s="8"/>
      <c r="J14" s="257"/>
      <c r="K14" s="257"/>
      <c r="L14" s="257"/>
      <c r="M14" s="257"/>
      <c r="O14" s="148" t="str">
        <f>IF(OR(Z6,Z7,Z8,Z9,Z10,Z11,Z12,Z13,Z15,Z16)=TRUE,"","Legalább alapfokú iskolai végzettség igazolása")</f>
        <v>Legalább alapfokú iskolai végzettség igazolása</v>
      </c>
      <c r="P14" s="148"/>
      <c r="Q14" s="148"/>
      <c r="R14" s="148"/>
      <c r="S14" s="148"/>
      <c r="T14" s="148"/>
      <c r="Z14" s="66" t="b">
        <v>0</v>
      </c>
    </row>
    <row r="15" spans="2:26" x14ac:dyDescent="0.25">
      <c r="B15" s="6"/>
      <c r="C15" s="7"/>
      <c r="D15" s="7"/>
      <c r="E15" s="7"/>
      <c r="F15" s="7"/>
      <c r="G15" s="7"/>
      <c r="H15" s="8"/>
      <c r="J15" s="257"/>
      <c r="K15" s="257"/>
      <c r="L15" s="257"/>
      <c r="M15" s="257"/>
      <c r="O15" s="257" t="str">
        <f>IF(OR(Z13,Z11)=TRUE,"Felmentési kérelemhez: képesítő okmány, vizsgajegyzőkönyv, leckekönyv vagy tanterv","")</f>
        <v/>
      </c>
      <c r="P15" s="257"/>
      <c r="Q15" s="257"/>
      <c r="R15" s="257"/>
      <c r="S15" s="257"/>
      <c r="T15" s="257"/>
      <c r="Z15" s="66" t="b">
        <v>0</v>
      </c>
    </row>
    <row r="16" spans="2:26" x14ac:dyDescent="0.25">
      <c r="B16" s="6"/>
      <c r="C16" s="7"/>
      <c r="D16" s="7"/>
      <c r="E16" s="7"/>
      <c r="F16" s="7"/>
      <c r="G16" s="7"/>
      <c r="H16" s="8"/>
      <c r="J16" s="257"/>
      <c r="K16" s="257"/>
      <c r="L16" s="257"/>
      <c r="M16" s="257"/>
      <c r="O16" s="257"/>
      <c r="P16" s="257"/>
      <c r="Q16" s="257"/>
      <c r="R16" s="257"/>
      <c r="S16" s="257"/>
      <c r="T16" s="257"/>
      <c r="Z16" s="66" t="b">
        <v>0</v>
      </c>
    </row>
    <row r="17" spans="2:20" x14ac:dyDescent="0.25">
      <c r="B17" s="6"/>
      <c r="C17" s="7"/>
      <c r="D17" s="7"/>
      <c r="E17" s="7"/>
      <c r="F17" s="7"/>
      <c r="G17" s="7"/>
      <c r="H17" s="8"/>
      <c r="J17" s="269" t="str">
        <f>IF(Z14=TRUE,"vagy","")</f>
        <v/>
      </c>
      <c r="K17" s="269"/>
      <c r="L17" s="269"/>
      <c r="M17" s="269"/>
      <c r="O17" s="45"/>
      <c r="P17" s="45"/>
      <c r="Q17" s="45"/>
      <c r="R17" s="45"/>
      <c r="S17" s="45"/>
      <c r="T17" s="45"/>
    </row>
    <row r="18" spans="2:20" x14ac:dyDescent="0.25">
      <c r="B18" s="6"/>
      <c r="C18" s="7"/>
      <c r="D18" s="7"/>
      <c r="E18" s="7"/>
      <c r="F18" s="7"/>
      <c r="G18" s="7"/>
      <c r="H18" s="8"/>
      <c r="J18" s="257" t="str">
        <f>IF(Z14=TRUE,"legalább 6 hónap hajózási gyakorlat a fedélzeti személyzet tagjaként és tengeri hajón és jóváhagyott hajóvezetői képzés sikeres elvégzésének igazolása","")</f>
        <v/>
      </c>
      <c r="K18" s="257"/>
      <c r="L18" s="257"/>
      <c r="M18" s="257"/>
      <c r="O18" s="257" t="s">
        <v>76</v>
      </c>
      <c r="P18" s="257"/>
      <c r="Q18" s="257"/>
      <c r="R18" s="257"/>
      <c r="S18" s="257"/>
      <c r="T18" s="257"/>
    </row>
    <row r="19" spans="2:20" x14ac:dyDescent="0.25">
      <c r="B19" s="6"/>
      <c r="C19" s="7"/>
      <c r="D19" s="7"/>
      <c r="E19" s="7"/>
      <c r="F19" s="7"/>
      <c r="G19" s="7"/>
      <c r="H19" s="8"/>
      <c r="J19" s="257"/>
      <c r="K19" s="257"/>
      <c r="L19" s="257"/>
      <c r="M19" s="257"/>
      <c r="O19" s="257"/>
      <c r="P19" s="257"/>
      <c r="Q19" s="257"/>
      <c r="R19" s="257"/>
      <c r="S19" s="257"/>
      <c r="T19" s="257"/>
    </row>
    <row r="20" spans="2:20" x14ac:dyDescent="0.25">
      <c r="B20" s="6"/>
      <c r="C20" s="7"/>
      <c r="D20" s="7"/>
      <c r="E20" s="7"/>
      <c r="F20" s="7"/>
      <c r="G20" s="7"/>
      <c r="H20" s="8"/>
      <c r="J20" s="257"/>
      <c r="K20" s="257"/>
      <c r="L20" s="257"/>
      <c r="M20" s="257"/>
      <c r="O20" s="257"/>
      <c r="P20" s="257"/>
      <c r="Q20" s="257"/>
      <c r="R20" s="257"/>
      <c r="S20" s="257"/>
      <c r="T20" s="257"/>
    </row>
    <row r="21" spans="2:20" x14ac:dyDescent="0.25">
      <c r="B21" s="6"/>
      <c r="C21" s="7"/>
      <c r="D21" s="7"/>
      <c r="E21" s="7"/>
      <c r="F21" s="7"/>
      <c r="G21" s="7"/>
      <c r="H21" s="8"/>
      <c r="J21" s="257"/>
      <c r="K21" s="257"/>
      <c r="L21" s="257"/>
      <c r="M21" s="257"/>
      <c r="O21" s="257"/>
      <c r="P21" s="257"/>
      <c r="Q21" s="257"/>
      <c r="R21" s="257"/>
      <c r="S21" s="257"/>
      <c r="T21" s="257"/>
    </row>
    <row r="22" spans="2:20" x14ac:dyDescent="0.25">
      <c r="B22" s="9"/>
      <c r="C22" s="10"/>
      <c r="D22" s="10"/>
      <c r="E22" s="10"/>
      <c r="F22" s="10"/>
      <c r="G22" s="10"/>
      <c r="H22" s="11"/>
      <c r="J22" s="257"/>
      <c r="K22" s="257"/>
      <c r="L22" s="257"/>
      <c r="M22" s="257"/>
      <c r="O22" s="257"/>
      <c r="P22" s="257"/>
      <c r="Q22" s="257"/>
      <c r="R22" s="257"/>
      <c r="S22" s="257"/>
      <c r="T22" s="257"/>
    </row>
    <row r="23" spans="2:20" x14ac:dyDescent="0.25">
      <c r="O23" s="257"/>
      <c r="P23" s="257"/>
      <c r="Q23" s="257"/>
      <c r="R23" s="257"/>
      <c r="S23" s="257"/>
      <c r="T23" s="257"/>
    </row>
    <row r="24" spans="2:20" ht="15.75" x14ac:dyDescent="0.25">
      <c r="B24" s="125" t="s">
        <v>37</v>
      </c>
      <c r="C24" s="125"/>
      <c r="D24" s="125"/>
      <c r="E24" s="125"/>
      <c r="F24" s="125"/>
      <c r="G24" s="125"/>
      <c r="H24" s="125"/>
      <c r="J24" s="125" t="s">
        <v>43</v>
      </c>
      <c r="K24" s="125"/>
      <c r="L24" s="125" t="s">
        <v>78</v>
      </c>
      <c r="M24" s="125"/>
      <c r="O24" s="257"/>
      <c r="P24" s="257"/>
      <c r="Q24" s="257"/>
      <c r="R24" s="257"/>
      <c r="S24" s="257"/>
      <c r="T24" s="257"/>
    </row>
    <row r="25" spans="2:20" ht="13.5" customHeight="1" x14ac:dyDescent="0.25">
      <c r="B25" s="263" t="s">
        <v>95</v>
      </c>
      <c r="C25" s="263" t="s">
        <v>96</v>
      </c>
      <c r="D25" s="263" t="s">
        <v>97</v>
      </c>
      <c r="E25" s="263" t="s">
        <v>98</v>
      </c>
      <c r="F25" s="263" t="s">
        <v>83</v>
      </c>
      <c r="G25" s="263" t="s">
        <v>99</v>
      </c>
      <c r="H25" s="263" t="s">
        <v>72</v>
      </c>
      <c r="I25" s="18"/>
      <c r="J25" s="258">
        <f>SUM(B36:H36)</f>
        <v>125700</v>
      </c>
      <c r="K25" s="258"/>
      <c r="L25" s="131">
        <f>Kezdőlap!E41</f>
        <v>7300</v>
      </c>
      <c r="M25" s="131"/>
      <c r="O25" s="257" t="str">
        <f>IF(Z13=TRUE,"Hajózási szakképzésben szerzett képesítő bizonyítványként azt a képesítő okmányt lehet elfogadni, amelyet olyan oktatási intézmény adott ki, amelynek tanterve a hajózási hatóság által jóváhagyott szakmai oktatási programot tartalmazza","")</f>
        <v/>
      </c>
      <c r="P25" s="257"/>
      <c r="Q25" s="257"/>
      <c r="R25" s="257"/>
      <c r="S25" s="257"/>
      <c r="T25" s="257"/>
    </row>
    <row r="26" spans="2:20" ht="15" customHeight="1" x14ac:dyDescent="0.25">
      <c r="B26" s="263"/>
      <c r="C26" s="263"/>
      <c r="D26" s="263"/>
      <c r="E26" s="263"/>
      <c r="F26" s="263"/>
      <c r="G26" s="263"/>
      <c r="H26" s="263"/>
      <c r="J26" s="258"/>
      <c r="K26" s="258"/>
      <c r="L26" s="131"/>
      <c r="M26" s="131"/>
      <c r="O26" s="257"/>
      <c r="P26" s="257"/>
      <c r="Q26" s="257"/>
      <c r="R26" s="257"/>
      <c r="S26" s="257"/>
      <c r="T26" s="257"/>
    </row>
    <row r="27" spans="2:20" ht="15" customHeight="1" x14ac:dyDescent="0.25">
      <c r="B27" s="263"/>
      <c r="C27" s="263"/>
      <c r="D27" s="263"/>
      <c r="E27" s="263"/>
      <c r="F27" s="263"/>
      <c r="G27" s="263"/>
      <c r="H27" s="263"/>
      <c r="J27" s="258"/>
      <c r="K27" s="258"/>
      <c r="L27" s="131"/>
      <c r="M27" s="131"/>
      <c r="O27" s="257"/>
      <c r="P27" s="257"/>
      <c r="Q27" s="257"/>
      <c r="R27" s="257"/>
      <c r="S27" s="257"/>
      <c r="T27" s="257"/>
    </row>
    <row r="28" spans="2:20" ht="15" customHeight="1" x14ac:dyDescent="0.25">
      <c r="B28" s="263"/>
      <c r="C28" s="263"/>
      <c r="D28" s="263"/>
      <c r="E28" s="263"/>
      <c r="F28" s="263"/>
      <c r="G28" s="263"/>
      <c r="H28" s="263"/>
      <c r="J28" s="258"/>
      <c r="K28" s="258"/>
      <c r="L28" s="131"/>
      <c r="M28" s="131"/>
      <c r="O28" s="257"/>
      <c r="P28" s="257"/>
      <c r="Q28" s="257"/>
      <c r="R28" s="257"/>
      <c r="S28" s="257"/>
      <c r="T28" s="257"/>
    </row>
    <row r="29" spans="2:20" ht="15" customHeight="1" x14ac:dyDescent="0.25">
      <c r="B29" s="263"/>
      <c r="C29" s="263"/>
      <c r="D29" s="263"/>
      <c r="E29" s="263"/>
      <c r="F29" s="263"/>
      <c r="G29" s="263"/>
      <c r="H29" s="263"/>
      <c r="J29" s="258"/>
      <c r="K29" s="258"/>
      <c r="L29" s="131"/>
      <c r="M29" s="131"/>
      <c r="O29" s="257"/>
      <c r="P29" s="257"/>
      <c r="Q29" s="257"/>
      <c r="R29" s="257"/>
      <c r="S29" s="257"/>
      <c r="T29" s="257"/>
    </row>
    <row r="30" spans="2:20" ht="15" customHeight="1" x14ac:dyDescent="0.25">
      <c r="B30" s="263"/>
      <c r="C30" s="263"/>
      <c r="D30" s="263"/>
      <c r="E30" s="263"/>
      <c r="F30" s="263"/>
      <c r="G30" s="263"/>
      <c r="H30" s="263"/>
      <c r="J30" s="258"/>
      <c r="K30" s="258"/>
      <c r="L30" s="131"/>
      <c r="M30" s="131"/>
      <c r="O30" s="257"/>
      <c r="P30" s="257"/>
      <c r="Q30" s="257"/>
      <c r="R30" s="257"/>
      <c r="S30" s="257"/>
      <c r="T30" s="257"/>
    </row>
    <row r="31" spans="2:20" ht="15" customHeight="1" x14ac:dyDescent="0.25">
      <c r="B31" s="263"/>
      <c r="C31" s="263"/>
      <c r="D31" s="263"/>
      <c r="E31" s="263"/>
      <c r="F31" s="263"/>
      <c r="G31" s="263"/>
      <c r="H31" s="263"/>
      <c r="J31" s="258"/>
      <c r="K31" s="258"/>
      <c r="L31" s="131"/>
      <c r="M31" s="131"/>
      <c r="O31" s="257"/>
      <c r="P31" s="257"/>
      <c r="Q31" s="257"/>
      <c r="R31" s="257"/>
      <c r="S31" s="257"/>
      <c r="T31" s="257"/>
    </row>
    <row r="32" spans="2:20" ht="15" customHeight="1" x14ac:dyDescent="0.25">
      <c r="B32" s="263"/>
      <c r="C32" s="263"/>
      <c r="D32" s="263"/>
      <c r="E32" s="263"/>
      <c r="F32" s="263"/>
      <c r="G32" s="263"/>
      <c r="H32" s="263"/>
      <c r="J32" s="258"/>
      <c r="K32" s="258"/>
      <c r="L32" s="131"/>
      <c r="M32" s="131"/>
    </row>
    <row r="33" spans="2:20" x14ac:dyDescent="0.25">
      <c r="B33" s="263"/>
      <c r="C33" s="263"/>
      <c r="D33" s="263"/>
      <c r="E33" s="263"/>
      <c r="F33" s="263"/>
      <c r="G33" s="263"/>
      <c r="H33" s="263"/>
      <c r="O33" s="213" t="s">
        <v>279</v>
      </c>
      <c r="P33" s="214"/>
      <c r="Q33" s="214"/>
      <c r="R33" s="214"/>
      <c r="S33" s="214"/>
      <c r="T33" s="215"/>
    </row>
    <row r="34" spans="2:20" x14ac:dyDescent="0.25">
      <c r="B34" s="263"/>
      <c r="C34" s="263"/>
      <c r="D34" s="263"/>
      <c r="E34" s="263"/>
      <c r="F34" s="263"/>
      <c r="G34" s="263"/>
      <c r="H34" s="263"/>
      <c r="O34" s="216"/>
      <c r="P34" s="217"/>
      <c r="Q34" s="217"/>
      <c r="R34" s="217"/>
      <c r="S34" s="217"/>
      <c r="T34" s="218"/>
    </row>
    <row r="35" spans="2:20" ht="15.75" x14ac:dyDescent="0.25">
      <c r="B35" s="16" t="str">
        <f>IF(B36=0,"Felmentés",IF(OR(Z13,Z11)=TRUE,"Felmentés/vizsga","Vizsga"))</f>
        <v>Vizsga</v>
      </c>
      <c r="C35" s="16" t="str">
        <f>IF(C36=0,"Felmentés",IF(OR(Z13,Z11)=TRUE,"Felmentés/vizsga","Vizsga"))</f>
        <v>Vizsga</v>
      </c>
      <c r="D35" s="16" t="str">
        <f>IF(D36=0,"Felmentés",IF(OR(Z13,Z11)=TRUE,"Felmentés/vizsga","Vizsga"))</f>
        <v>Vizsga</v>
      </c>
      <c r="E35" s="16" t="str">
        <f>IF(E36=0,"Felmentés",IF(OR(Z13,Z11)=TRUE,"Felmentés/vizsga","Vizsga"))</f>
        <v>Vizsga</v>
      </c>
      <c r="F35" s="16" t="str">
        <f>IF(F36=0,"Felmentés",IF(OR(Z13,Z11)=TRUE,"Felmentés/vizsga","Vizsga"))</f>
        <v>Vizsga</v>
      </c>
      <c r="G35" s="16" t="str">
        <f>IF(G36=0,"Felmentés",IF(OR(Z13,Z11)=TRUE,"Felmentés/vizsga","Vizsga"))</f>
        <v>Vizsga</v>
      </c>
      <c r="H35" s="16" t="str">
        <f>IF(H36&lt;&gt;0,"Vizsga","Felmentés")</f>
        <v>Vizsga</v>
      </c>
      <c r="O35" s="216"/>
      <c r="P35" s="217"/>
      <c r="Q35" s="217"/>
      <c r="R35" s="217"/>
      <c r="S35" s="217"/>
      <c r="T35" s="218"/>
    </row>
    <row r="36" spans="2:20" ht="15.75" x14ac:dyDescent="0.25">
      <c r="B36" s="54">
        <f>IF(Z9=TRUE,0,Kezdőlap!E36)</f>
        <v>12000</v>
      </c>
      <c r="C36" s="54">
        <f>IF(Z9=TRUE,0,Kezdőlap!E37)</f>
        <v>19400</v>
      </c>
      <c r="D36" s="54">
        <f>IF(Z9=TRUE,0,Kezdőlap!E37)</f>
        <v>19400</v>
      </c>
      <c r="E36" s="54">
        <f>IF(OR(Z6,Z7,Z9,Z12,Z16)=TRUE,0,Kezdőlap!E36)</f>
        <v>12000</v>
      </c>
      <c r="F36" s="54">
        <f>IF(Z9=TRUE,0,Kezdőlap!E36)</f>
        <v>12000</v>
      </c>
      <c r="G36" s="54">
        <f>IF(OR(Z7,Z9,Z10,Z15,Z16)=TRUE,0,Kezdőlap!E37)</f>
        <v>19400</v>
      </c>
      <c r="H36" s="54">
        <f>Kezdőlap!E40</f>
        <v>31500</v>
      </c>
      <c r="O36" s="219"/>
      <c r="P36" s="220"/>
      <c r="Q36" s="220"/>
      <c r="R36" s="220"/>
      <c r="S36" s="220"/>
      <c r="T36" s="221"/>
    </row>
  </sheetData>
  <sheetProtection sheet="1" objects="1" scenarios="1" selectLockedCells="1"/>
  <mergeCells count="33">
    <mergeCell ref="O4:T5"/>
    <mergeCell ref="J4:M5"/>
    <mergeCell ref="J6:M11"/>
    <mergeCell ref="B4:H5"/>
    <mergeCell ref="B6:H6"/>
    <mergeCell ref="O6:T6"/>
    <mergeCell ref="O7:T7"/>
    <mergeCell ref="O8:T8"/>
    <mergeCell ref="O9:T9"/>
    <mergeCell ref="O10:T10"/>
    <mergeCell ref="O11:T11"/>
    <mergeCell ref="O14:T14"/>
    <mergeCell ref="O12:T13"/>
    <mergeCell ref="O15:T16"/>
    <mergeCell ref="B24:H24"/>
    <mergeCell ref="J24:K24"/>
    <mergeCell ref="O18:T24"/>
    <mergeCell ref="J12:M12"/>
    <mergeCell ref="J13:M16"/>
    <mergeCell ref="J17:M17"/>
    <mergeCell ref="J18:M22"/>
    <mergeCell ref="B25:B34"/>
    <mergeCell ref="C25:C34"/>
    <mergeCell ref="D25:D34"/>
    <mergeCell ref="E25:E34"/>
    <mergeCell ref="F25:F34"/>
    <mergeCell ref="G25:G34"/>
    <mergeCell ref="H25:H34"/>
    <mergeCell ref="O25:T31"/>
    <mergeCell ref="J25:K32"/>
    <mergeCell ref="L24:M24"/>
    <mergeCell ref="L25:M32"/>
    <mergeCell ref="O33:T36"/>
  </mergeCells>
  <conditionalFormatting sqref="B35:H35">
    <cfRule type="containsText" dxfId="51" priority="1" operator="containsText" text="Vizsga">
      <formula>NOT(ISERROR(SEARCH("Vizsga",B35)))</formula>
    </cfRule>
  </conditionalFormatting>
  <pageMargins left="0.7" right="0.7" top="0.75" bottom="0.75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6385" r:id="rId4" name="Check Box 1">
              <controlPr defaultSize="0" autoFill="0" autoLine="0" autoPict="0" altText="Van belvízi kedvtelési célú kishajó vezetői képesítés">
                <anchor moveWithCells="1">
                  <from>
                    <xdr:col>1</xdr:col>
                    <xdr:colOff>57150</xdr:colOff>
                    <xdr:row>12</xdr:row>
                    <xdr:rowOff>47625</xdr:rowOff>
                  </from>
                  <to>
                    <xdr:col>5</xdr:col>
                    <xdr:colOff>600075</xdr:colOff>
                    <xdr:row>13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86" r:id="rId5" name="Check Box 2">
              <controlPr defaultSize="0" autoFill="0" autoLine="0" autoPict="0">
                <anchor moveWithCells="1">
                  <from>
                    <xdr:col>1</xdr:col>
                    <xdr:colOff>57150</xdr:colOff>
                    <xdr:row>15</xdr:row>
                    <xdr:rowOff>66675</xdr:rowOff>
                  </from>
                  <to>
                    <xdr:col>4</xdr:col>
                    <xdr:colOff>476250</xdr:colOff>
                    <xdr:row>16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87" r:id="rId6" name="Check Box 3">
              <controlPr defaultSize="0" autoFill="0" autoLine="0" autoPict="0">
                <anchor moveWithCells="1">
                  <from>
                    <xdr:col>1</xdr:col>
                    <xdr:colOff>57150</xdr:colOff>
                    <xdr:row>7</xdr:row>
                    <xdr:rowOff>171450</xdr:rowOff>
                  </from>
                  <to>
                    <xdr:col>5</xdr:col>
                    <xdr:colOff>600075</xdr:colOff>
                    <xdr:row>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88" r:id="rId7" name="Check Box 4">
              <controlPr defaultSize="0" autoFill="0" autoLine="0" autoPict="0" altText="Tengeri hajón, fedélzeti személyzet tagjaként legalább 9 hónap munkatapasztalat">
                <anchor moveWithCells="1">
                  <from>
                    <xdr:col>1</xdr:col>
                    <xdr:colOff>57150</xdr:colOff>
                    <xdr:row>18</xdr:row>
                    <xdr:rowOff>0</xdr:rowOff>
                  </from>
                  <to>
                    <xdr:col>6</xdr:col>
                    <xdr:colOff>714375</xdr:colOff>
                    <xdr:row>19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89" r:id="rId8" name="Check Box 5">
              <controlPr defaultSize="0" autoFill="0" autoLine="0" autoPict="0">
                <anchor moveWithCells="1">
                  <from>
                    <xdr:col>1</xdr:col>
                    <xdr:colOff>57150</xdr:colOff>
                    <xdr:row>9</xdr:row>
                    <xdr:rowOff>76200</xdr:rowOff>
                  </from>
                  <to>
                    <xdr:col>5</xdr:col>
                    <xdr:colOff>600075</xdr:colOff>
                    <xdr:row>10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90" r:id="rId9" name="Check Box 6">
              <controlPr defaultSize="0" autoFill="0" autoLine="0" autoPict="0">
                <anchor moveWithCells="1">
                  <from>
                    <xdr:col>1</xdr:col>
                    <xdr:colOff>57150</xdr:colOff>
                    <xdr:row>13</xdr:row>
                    <xdr:rowOff>161925</xdr:rowOff>
                  </from>
                  <to>
                    <xdr:col>4</xdr:col>
                    <xdr:colOff>361950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91" r:id="rId10" name="Check Box 7">
              <controlPr defaultSize="0" autoFill="0" autoLine="0" autoPict="0">
                <anchor moveWithCells="1">
                  <from>
                    <xdr:col>1</xdr:col>
                    <xdr:colOff>57150</xdr:colOff>
                    <xdr:row>16</xdr:row>
                    <xdr:rowOff>133350</xdr:rowOff>
                  </from>
                  <to>
                    <xdr:col>4</xdr:col>
                    <xdr:colOff>361950</xdr:colOff>
                    <xdr:row>17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92" r:id="rId11" name="Check Box 8">
              <controlPr defaultSize="0" autoFill="0" autoLine="0" autoPict="0">
                <anchor moveWithCells="1">
                  <from>
                    <xdr:col>1</xdr:col>
                    <xdr:colOff>57150</xdr:colOff>
                    <xdr:row>19</xdr:row>
                    <xdr:rowOff>66675</xdr:rowOff>
                  </from>
                  <to>
                    <xdr:col>4</xdr:col>
                    <xdr:colOff>476250</xdr:colOff>
                    <xdr:row>20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93" r:id="rId12" name="Check Box 9">
              <controlPr defaultSize="0" autoFill="0" autoLine="0" autoPict="0">
                <anchor moveWithCells="1">
                  <from>
                    <xdr:col>1</xdr:col>
                    <xdr:colOff>57150</xdr:colOff>
                    <xdr:row>10</xdr:row>
                    <xdr:rowOff>152400</xdr:rowOff>
                  </from>
                  <to>
                    <xdr:col>5</xdr:col>
                    <xdr:colOff>600075</xdr:colOff>
                    <xdr:row>12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94" r:id="rId13" name="Check Box 10">
              <controlPr defaultSize="0" autoFill="0" autoLine="0" autoPict="0">
                <anchor moveWithCells="1">
                  <from>
                    <xdr:col>1</xdr:col>
                    <xdr:colOff>57150</xdr:colOff>
                    <xdr:row>6</xdr:row>
                    <xdr:rowOff>66675</xdr:rowOff>
                  </from>
                  <to>
                    <xdr:col>5</xdr:col>
                    <xdr:colOff>600075</xdr:colOff>
                    <xdr:row>7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95" r:id="rId14" name="Check Box 11">
              <controlPr defaultSize="0" autoFill="0" autoLine="0" autoPict="0">
                <anchor moveWithCells="1">
                  <from>
                    <xdr:col>1</xdr:col>
                    <xdr:colOff>57150</xdr:colOff>
                    <xdr:row>20</xdr:row>
                    <xdr:rowOff>85725</xdr:rowOff>
                  </from>
                  <to>
                    <xdr:col>7</xdr:col>
                    <xdr:colOff>523875</xdr:colOff>
                    <xdr:row>21</xdr:row>
                    <xdr:rowOff>180975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79C146-0B09-4E35-A3AF-46190CA0AF75}">
  <sheetPr codeName="Munka1">
    <tabColor rgb="FF00B0F0"/>
  </sheetPr>
  <dimension ref="B4:AA31"/>
  <sheetViews>
    <sheetView showGridLines="0" showRowColHeaders="0" workbookViewId="0">
      <selection activeCell="J2" sqref="J2"/>
    </sheetView>
  </sheetViews>
  <sheetFormatPr defaultRowHeight="15" x14ac:dyDescent="0.25"/>
  <cols>
    <col min="2" max="2" width="11.140625" bestFit="1" customWidth="1"/>
    <col min="3" max="3" width="9.85546875" customWidth="1"/>
    <col min="7" max="7" width="10.42578125" bestFit="1" customWidth="1"/>
    <col min="27" max="27" width="5" style="66" hidden="1" customWidth="1"/>
  </cols>
  <sheetData>
    <row r="4" spans="2:27" x14ac:dyDescent="0.25">
      <c r="B4" s="248" t="s">
        <v>19</v>
      </c>
      <c r="C4" s="249"/>
      <c r="D4" s="249"/>
      <c r="E4" s="249"/>
      <c r="F4" s="249"/>
      <c r="G4" s="249"/>
      <c r="H4" s="249"/>
      <c r="I4" s="249"/>
      <c r="J4" s="250"/>
      <c r="L4" s="132" t="s">
        <v>65</v>
      </c>
      <c r="M4" s="132"/>
      <c r="N4" s="132"/>
      <c r="O4" s="132"/>
      <c r="P4" s="35"/>
      <c r="Q4" s="149" t="s">
        <v>104</v>
      </c>
      <c r="R4" s="150"/>
      <c r="S4" s="150"/>
      <c r="T4" s="150"/>
      <c r="U4" s="150"/>
      <c r="V4" s="150"/>
      <c r="W4" s="150"/>
      <c r="X4" s="150"/>
      <c r="Y4" s="150"/>
      <c r="Z4" s="151"/>
    </row>
    <row r="5" spans="2:27" x14ac:dyDescent="0.25">
      <c r="B5" s="251"/>
      <c r="C5" s="252"/>
      <c r="D5" s="252"/>
      <c r="E5" s="252"/>
      <c r="F5" s="252"/>
      <c r="G5" s="252"/>
      <c r="H5" s="252"/>
      <c r="I5" s="252"/>
      <c r="J5" s="253"/>
      <c r="L5" s="132"/>
      <c r="M5" s="132"/>
      <c r="N5" s="132"/>
      <c r="O5" s="132"/>
      <c r="P5" s="35"/>
      <c r="Q5" s="152"/>
      <c r="R5" s="153"/>
      <c r="S5" s="153"/>
      <c r="T5" s="153"/>
      <c r="U5" s="153"/>
      <c r="V5" s="153"/>
      <c r="W5" s="153"/>
      <c r="X5" s="153"/>
      <c r="Y5" s="153"/>
      <c r="Z5" s="154"/>
    </row>
    <row r="6" spans="2:27" x14ac:dyDescent="0.25">
      <c r="B6" s="275" t="s">
        <v>100</v>
      </c>
      <c r="C6" s="276"/>
      <c r="D6" s="276"/>
      <c r="E6" s="276"/>
      <c r="F6" s="276"/>
      <c r="G6" s="276"/>
      <c r="H6" s="276"/>
      <c r="I6" s="276"/>
      <c r="J6" s="277"/>
      <c r="L6" s="191" t="s">
        <v>102</v>
      </c>
      <c r="M6" s="191"/>
      <c r="N6" s="191"/>
      <c r="O6" s="191"/>
      <c r="Q6" s="148" t="s">
        <v>101</v>
      </c>
      <c r="R6" s="148"/>
      <c r="S6" s="148"/>
      <c r="T6" s="148"/>
      <c r="U6" s="148"/>
      <c r="V6" s="148"/>
      <c r="W6" s="148"/>
      <c r="X6" s="148"/>
      <c r="Y6" s="148"/>
      <c r="Z6" s="148"/>
      <c r="AA6" s="66">
        <v>6</v>
      </c>
    </row>
    <row r="7" spans="2:27" ht="15" customHeight="1" x14ac:dyDescent="0.25">
      <c r="B7" s="13"/>
      <c r="C7" s="14"/>
      <c r="D7" s="14"/>
      <c r="E7" s="14"/>
      <c r="F7" s="14"/>
      <c r="G7" s="14"/>
      <c r="H7" s="14"/>
      <c r="I7" s="14"/>
      <c r="J7" s="15"/>
      <c r="L7" s="191" t="s">
        <v>103</v>
      </c>
      <c r="M7" s="191"/>
      <c r="N7" s="191"/>
      <c r="O7" s="191"/>
      <c r="Q7" s="257" t="s">
        <v>105</v>
      </c>
      <c r="R7" s="257"/>
      <c r="S7" s="257"/>
      <c r="T7" s="257"/>
      <c r="U7" s="257"/>
      <c r="V7" s="257"/>
      <c r="W7" s="257"/>
      <c r="X7" s="257"/>
      <c r="Y7" s="257"/>
      <c r="Z7" s="257"/>
    </row>
    <row r="8" spans="2:27" ht="15" customHeight="1" x14ac:dyDescent="0.25">
      <c r="B8" s="6"/>
      <c r="C8" s="7"/>
      <c r="D8" s="7"/>
      <c r="E8" s="7"/>
      <c r="F8" s="7"/>
      <c r="G8" s="7"/>
      <c r="H8" s="7"/>
      <c r="I8" s="7"/>
      <c r="J8" s="8"/>
      <c r="L8" s="191" t="s">
        <v>73</v>
      </c>
      <c r="M8" s="191"/>
      <c r="N8" s="191"/>
      <c r="O8" s="191"/>
      <c r="Q8" s="257"/>
      <c r="R8" s="257"/>
      <c r="S8" s="257"/>
      <c r="T8" s="257"/>
      <c r="U8" s="257"/>
      <c r="V8" s="257"/>
      <c r="W8" s="257"/>
      <c r="X8" s="257"/>
      <c r="Y8" s="257"/>
      <c r="Z8" s="257"/>
    </row>
    <row r="9" spans="2:27" ht="15" customHeight="1" x14ac:dyDescent="0.25">
      <c r="B9" s="6"/>
      <c r="C9" s="7"/>
      <c r="D9" s="7"/>
      <c r="E9" s="7"/>
      <c r="F9" s="7"/>
      <c r="G9" s="7"/>
      <c r="H9" s="7"/>
      <c r="I9" s="7"/>
      <c r="J9" s="8"/>
      <c r="L9" s="272" t="str">
        <f>IF(AA6&lt;4,"Igazolás a vizsgát megelőző fél éven belül megtartott alaptanfolyam elvégzéséről","Igazolás a bizonyítvány lejárati időpontja előtt megtartott ismeretfelújító tanfolyam elvégzéséről")</f>
        <v>Igazolás a bizonyítvány lejárati időpontja előtt megtartott ismeretfelújító tanfolyam elvégzéséről</v>
      </c>
      <c r="M9" s="272"/>
      <c r="N9" s="272"/>
      <c r="O9" s="272"/>
      <c r="Q9" s="274" t="s">
        <v>106</v>
      </c>
      <c r="R9" s="274"/>
      <c r="S9" s="274"/>
      <c r="T9" s="274"/>
      <c r="U9" s="274"/>
      <c r="V9" s="274"/>
      <c r="W9" s="274"/>
      <c r="X9" s="274"/>
      <c r="Y9" s="274"/>
      <c r="Z9" s="274"/>
    </row>
    <row r="10" spans="2:27" x14ac:dyDescent="0.25">
      <c r="B10" s="6"/>
      <c r="C10" s="7"/>
      <c r="D10" s="7"/>
      <c r="E10" s="7"/>
      <c r="F10" s="7"/>
      <c r="G10" s="7"/>
      <c r="H10" s="7"/>
      <c r="I10" s="7"/>
      <c r="J10" s="8"/>
      <c r="L10" s="272"/>
      <c r="M10" s="272"/>
      <c r="N10" s="272"/>
      <c r="O10" s="272"/>
      <c r="Q10" s="274"/>
      <c r="R10" s="274"/>
      <c r="S10" s="274"/>
      <c r="T10" s="274"/>
      <c r="U10" s="274"/>
      <c r="V10" s="274"/>
      <c r="W10" s="274"/>
      <c r="X10" s="274"/>
      <c r="Y10" s="274"/>
      <c r="Z10" s="274"/>
    </row>
    <row r="11" spans="2:27" x14ac:dyDescent="0.25">
      <c r="B11" s="6"/>
      <c r="C11" s="7"/>
      <c r="D11" s="7"/>
      <c r="E11" s="7"/>
      <c r="F11" s="7"/>
      <c r="G11" s="7"/>
      <c r="H11" s="7"/>
      <c r="I11" s="7"/>
      <c r="J11" s="8"/>
      <c r="L11" s="272"/>
      <c r="M11" s="272"/>
      <c r="N11" s="272"/>
      <c r="O11" s="272"/>
      <c r="Q11" s="274"/>
      <c r="R11" s="274"/>
      <c r="S11" s="274"/>
      <c r="T11" s="274"/>
      <c r="U11" s="274"/>
      <c r="V11" s="274"/>
      <c r="W11" s="274"/>
      <c r="X11" s="274"/>
      <c r="Y11" s="274"/>
      <c r="Z11" s="274"/>
    </row>
    <row r="12" spans="2:27" ht="15" customHeight="1" x14ac:dyDescent="0.25">
      <c r="B12" s="6"/>
      <c r="C12" s="7"/>
      <c r="D12" s="7"/>
      <c r="E12" s="7"/>
      <c r="F12" s="7"/>
      <c r="G12" s="7"/>
      <c r="H12" s="7"/>
      <c r="I12" s="7"/>
      <c r="J12" s="8"/>
      <c r="Q12" s="257" t="s">
        <v>109</v>
      </c>
      <c r="R12" s="257"/>
      <c r="S12" s="257"/>
      <c r="T12" s="257"/>
      <c r="U12" s="257"/>
      <c r="V12" s="257"/>
      <c r="W12" s="257"/>
      <c r="X12" s="257"/>
      <c r="Y12" s="257"/>
      <c r="Z12" s="257"/>
    </row>
    <row r="13" spans="2:27" x14ac:dyDescent="0.25">
      <c r="B13" s="6"/>
      <c r="C13" s="7"/>
      <c r="D13" s="7"/>
      <c r="E13" s="7"/>
      <c r="F13" s="7"/>
      <c r="G13" s="7"/>
      <c r="H13" s="7"/>
      <c r="I13" s="7"/>
      <c r="J13" s="8"/>
      <c r="Q13" s="257"/>
      <c r="R13" s="257"/>
      <c r="S13" s="257"/>
      <c r="T13" s="257"/>
      <c r="U13" s="257"/>
      <c r="V13" s="257"/>
      <c r="W13" s="257"/>
      <c r="X13" s="257"/>
      <c r="Y13" s="257"/>
      <c r="Z13" s="257"/>
    </row>
    <row r="14" spans="2:27" x14ac:dyDescent="0.25">
      <c r="B14" s="6"/>
      <c r="C14" s="7"/>
      <c r="D14" s="7"/>
      <c r="E14" s="7"/>
      <c r="F14" s="7"/>
      <c r="G14" s="7"/>
      <c r="H14" s="7"/>
      <c r="I14" s="7"/>
      <c r="J14" s="8"/>
      <c r="Q14" s="257"/>
      <c r="R14" s="257"/>
      <c r="S14" s="257"/>
      <c r="T14" s="257"/>
      <c r="U14" s="257"/>
      <c r="V14" s="257"/>
      <c r="W14" s="257"/>
      <c r="X14" s="257"/>
      <c r="Y14" s="257"/>
      <c r="Z14" s="257"/>
    </row>
    <row r="15" spans="2:27" x14ac:dyDescent="0.25">
      <c r="B15" s="6"/>
      <c r="C15" s="7"/>
      <c r="D15" s="7"/>
      <c r="E15" s="7"/>
      <c r="F15" s="7"/>
      <c r="G15" s="7"/>
      <c r="H15" s="7"/>
      <c r="I15" s="7"/>
      <c r="J15" s="8"/>
      <c r="Q15" s="257" t="s">
        <v>107</v>
      </c>
      <c r="R15" s="257"/>
      <c r="S15" s="257"/>
      <c r="T15" s="257"/>
      <c r="U15" s="257"/>
      <c r="V15" s="257"/>
      <c r="W15" s="257"/>
      <c r="X15" s="257"/>
      <c r="Y15" s="257"/>
      <c r="Z15" s="257"/>
    </row>
    <row r="16" spans="2:27" x14ac:dyDescent="0.25">
      <c r="B16" s="9"/>
      <c r="C16" s="10"/>
      <c r="D16" s="10"/>
      <c r="E16" s="10"/>
      <c r="F16" s="10"/>
      <c r="G16" s="10"/>
      <c r="H16" s="10"/>
      <c r="I16" s="10"/>
      <c r="J16" s="11"/>
      <c r="Q16" s="257"/>
      <c r="R16" s="257"/>
      <c r="S16" s="257"/>
      <c r="T16" s="257"/>
      <c r="U16" s="257"/>
      <c r="V16" s="257"/>
      <c r="W16" s="257"/>
      <c r="X16" s="257"/>
      <c r="Y16" s="257"/>
      <c r="Z16" s="257"/>
    </row>
    <row r="17" spans="2:26" x14ac:dyDescent="0.25">
      <c r="Q17" s="257"/>
      <c r="R17" s="257"/>
      <c r="S17" s="257"/>
      <c r="T17" s="257"/>
      <c r="U17" s="257"/>
      <c r="V17" s="257"/>
      <c r="W17" s="257"/>
      <c r="X17" s="257"/>
      <c r="Y17" s="257"/>
      <c r="Z17" s="257"/>
    </row>
    <row r="18" spans="2:26" ht="15.75" x14ac:dyDescent="0.25">
      <c r="B18" s="125" t="s">
        <v>37</v>
      </c>
      <c r="C18" s="125"/>
      <c r="E18" s="125" t="s">
        <v>43</v>
      </c>
      <c r="F18" s="125"/>
      <c r="G18" s="125" t="s">
        <v>78</v>
      </c>
      <c r="H18" s="125"/>
      <c r="Q18" s="257"/>
      <c r="R18" s="257"/>
      <c r="S18" s="257"/>
      <c r="T18" s="257"/>
      <c r="U18" s="257"/>
      <c r="V18" s="257"/>
      <c r="W18" s="257"/>
      <c r="X18" s="257"/>
      <c r="Y18" s="257"/>
      <c r="Z18" s="257"/>
    </row>
    <row r="19" spans="2:26" ht="18.75" customHeight="1" x14ac:dyDescent="0.25">
      <c r="B19" s="273" t="s">
        <v>111</v>
      </c>
      <c r="C19" s="273" t="s">
        <v>112</v>
      </c>
      <c r="E19" s="258">
        <f>SUM(B30:C30)</f>
        <v>12100</v>
      </c>
      <c r="F19" s="258"/>
      <c r="G19" s="131">
        <f>Kezdőlap!E41</f>
        <v>7300</v>
      </c>
      <c r="H19" s="131"/>
      <c r="Q19" s="257" t="s">
        <v>110</v>
      </c>
      <c r="R19" s="257"/>
      <c r="S19" s="257"/>
      <c r="T19" s="257"/>
      <c r="U19" s="257"/>
      <c r="V19" s="257"/>
      <c r="W19" s="257"/>
      <c r="X19" s="257"/>
      <c r="Y19" s="257"/>
      <c r="Z19" s="257"/>
    </row>
    <row r="20" spans="2:26" ht="18.75" customHeight="1" x14ac:dyDescent="0.25">
      <c r="B20" s="273"/>
      <c r="C20" s="273"/>
      <c r="E20" s="258"/>
      <c r="F20" s="258"/>
      <c r="G20" s="131"/>
      <c r="H20" s="131"/>
      <c r="Q20" s="257"/>
      <c r="R20" s="257"/>
      <c r="S20" s="257"/>
      <c r="T20" s="257"/>
      <c r="U20" s="257"/>
      <c r="V20" s="257"/>
      <c r="W20" s="257"/>
      <c r="X20" s="257"/>
      <c r="Y20" s="257"/>
      <c r="Z20" s="257"/>
    </row>
    <row r="21" spans="2:26" ht="18.75" customHeight="1" x14ac:dyDescent="0.25">
      <c r="B21" s="273"/>
      <c r="C21" s="273"/>
      <c r="E21" s="258"/>
      <c r="F21" s="258"/>
      <c r="G21" s="131"/>
      <c r="H21" s="131"/>
      <c r="Q21" s="257"/>
      <c r="R21" s="257"/>
      <c r="S21" s="257"/>
      <c r="T21" s="257"/>
      <c r="U21" s="257"/>
      <c r="V21" s="257"/>
      <c r="W21" s="257"/>
      <c r="X21" s="257"/>
      <c r="Y21" s="257"/>
      <c r="Z21" s="257"/>
    </row>
    <row r="22" spans="2:26" ht="18.75" customHeight="1" x14ac:dyDescent="0.25">
      <c r="B22" s="273"/>
      <c r="C22" s="273"/>
      <c r="E22" s="258"/>
      <c r="F22" s="258"/>
      <c r="G22" s="131"/>
      <c r="H22" s="131"/>
      <c r="Q22" s="274" t="s">
        <v>108</v>
      </c>
      <c r="R22" s="278"/>
      <c r="S22" s="278"/>
      <c r="T22" s="278"/>
      <c r="U22" s="278"/>
      <c r="V22" s="278"/>
      <c r="W22" s="278"/>
      <c r="X22" s="278"/>
      <c r="Y22" s="278"/>
      <c r="Z22" s="278"/>
    </row>
    <row r="23" spans="2:26" ht="18.75" customHeight="1" x14ac:dyDescent="0.25">
      <c r="B23" s="273"/>
      <c r="C23" s="273"/>
      <c r="E23" s="258"/>
      <c r="F23" s="258"/>
      <c r="G23" s="131"/>
      <c r="H23" s="131"/>
      <c r="Q23" s="278"/>
      <c r="R23" s="278"/>
      <c r="S23" s="278"/>
      <c r="T23" s="278"/>
      <c r="U23" s="278"/>
      <c r="V23" s="278"/>
      <c r="W23" s="278"/>
      <c r="X23" s="278"/>
      <c r="Y23" s="278"/>
      <c r="Z23" s="278"/>
    </row>
    <row r="24" spans="2:26" ht="18.75" customHeight="1" x14ac:dyDescent="0.25">
      <c r="B24" s="273"/>
      <c r="C24" s="273"/>
      <c r="E24" s="258"/>
      <c r="F24" s="258"/>
      <c r="G24" s="131"/>
      <c r="H24" s="131"/>
      <c r="Q24" s="278"/>
      <c r="R24" s="278"/>
      <c r="S24" s="278"/>
      <c r="T24" s="278"/>
      <c r="U24" s="278"/>
      <c r="V24" s="278"/>
      <c r="W24" s="278"/>
      <c r="X24" s="278"/>
      <c r="Y24" s="278"/>
      <c r="Z24" s="278"/>
    </row>
    <row r="25" spans="2:26" ht="18.75" customHeight="1" x14ac:dyDescent="0.25">
      <c r="B25" s="273"/>
      <c r="C25" s="273"/>
      <c r="E25" s="37"/>
      <c r="F25" s="37"/>
      <c r="G25" s="38"/>
      <c r="H25" s="38"/>
    </row>
    <row r="26" spans="2:26" ht="18.75" customHeight="1" x14ac:dyDescent="0.25">
      <c r="B26" s="273"/>
      <c r="C26" s="273"/>
      <c r="E26" s="37"/>
      <c r="F26" s="37"/>
      <c r="G26" s="38"/>
      <c r="H26" s="38"/>
    </row>
    <row r="27" spans="2:26" ht="18.75" customHeight="1" x14ac:dyDescent="0.25">
      <c r="B27" s="273"/>
      <c r="C27" s="273"/>
      <c r="E27" s="37"/>
      <c r="F27" s="37"/>
      <c r="G27" s="38"/>
      <c r="H27" s="38"/>
    </row>
    <row r="28" spans="2:26" ht="18.75" customHeight="1" x14ac:dyDescent="0.25">
      <c r="B28" s="273"/>
      <c r="C28" s="273"/>
      <c r="E28" s="37"/>
      <c r="F28" s="37"/>
      <c r="G28" s="38"/>
      <c r="H28" s="38"/>
    </row>
    <row r="29" spans="2:26" ht="15.75" x14ac:dyDescent="0.25">
      <c r="B29" s="16" t="str">
        <f>IF(B30&lt;&gt;0,"Vizsga","-")</f>
        <v>-</v>
      </c>
      <c r="C29" s="16" t="str">
        <f>IF(C30&lt;&gt;0,"Vizsga","-")</f>
        <v>Vizsga</v>
      </c>
    </row>
    <row r="30" spans="2:26" ht="15.75" x14ac:dyDescent="0.25">
      <c r="B30" s="39">
        <f>IF(AA6&lt;4,Kezdőlap!E35,0)</f>
        <v>0</v>
      </c>
      <c r="C30" s="39">
        <f>IF(AA6&gt;3,Kezdőlap!E35,0)</f>
        <v>12100</v>
      </c>
    </row>
    <row r="31" spans="2:26" ht="18.75" x14ac:dyDescent="0.25">
      <c r="B31" s="18"/>
      <c r="C31" s="18"/>
      <c r="E31" s="270"/>
      <c r="F31" s="271"/>
      <c r="G31" s="36"/>
    </row>
  </sheetData>
  <sheetProtection sheet="1" objects="1" scenarios="1" selectLockedCells="1"/>
  <mergeCells count="23">
    <mergeCell ref="B19:B28"/>
    <mergeCell ref="C19:C28"/>
    <mergeCell ref="Q9:Z11"/>
    <mergeCell ref="Q12:Z14"/>
    <mergeCell ref="B6:J6"/>
    <mergeCell ref="Q15:Z18"/>
    <mergeCell ref="Q19:Z21"/>
    <mergeCell ref="Q22:Z24"/>
    <mergeCell ref="B18:C18"/>
    <mergeCell ref="E31:F31"/>
    <mergeCell ref="L6:O6"/>
    <mergeCell ref="L7:O7"/>
    <mergeCell ref="L8:O8"/>
    <mergeCell ref="L9:O11"/>
    <mergeCell ref="E19:F24"/>
    <mergeCell ref="G19:H24"/>
    <mergeCell ref="E18:F18"/>
    <mergeCell ref="G18:H18"/>
    <mergeCell ref="B4:J5"/>
    <mergeCell ref="L4:O5"/>
    <mergeCell ref="Q4:Z5"/>
    <mergeCell ref="Q6:Z6"/>
    <mergeCell ref="Q7:Z8"/>
  </mergeCells>
  <conditionalFormatting sqref="B29:C29">
    <cfRule type="containsText" dxfId="50" priority="1" operator="containsText" text="Vizsga">
      <formula>NOT(ISERROR(SEARCH("Vizsga",B29)))</formula>
    </cfRule>
  </conditionalFormatting>
  <pageMargins left="0.7" right="0.7" top="0.75" bottom="0.75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8443" r:id="rId4" name="Option Button 11">
              <controlPr defaultSize="0" autoFill="0" autoLine="0" autoPict="0">
                <anchor moveWithCells="1">
                  <from>
                    <xdr:col>0</xdr:col>
                    <xdr:colOff>609600</xdr:colOff>
                    <xdr:row>6</xdr:row>
                    <xdr:rowOff>76200</xdr:rowOff>
                  </from>
                  <to>
                    <xdr:col>9</xdr:col>
                    <xdr:colOff>276225</xdr:colOff>
                    <xdr:row>7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444" r:id="rId5" name="Option Button 12">
              <controlPr defaultSize="0" autoFill="0" autoLine="0" autoPict="0">
                <anchor moveWithCells="1">
                  <from>
                    <xdr:col>0</xdr:col>
                    <xdr:colOff>609600</xdr:colOff>
                    <xdr:row>8</xdr:row>
                    <xdr:rowOff>0</xdr:rowOff>
                  </from>
                  <to>
                    <xdr:col>8</xdr:col>
                    <xdr:colOff>476250</xdr:colOff>
                    <xdr:row>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445" r:id="rId6" name="Option Button 13">
              <controlPr defaultSize="0" autoFill="0" autoLine="0" autoPict="0">
                <anchor moveWithCells="1">
                  <from>
                    <xdr:col>0</xdr:col>
                    <xdr:colOff>609600</xdr:colOff>
                    <xdr:row>9</xdr:row>
                    <xdr:rowOff>95250</xdr:rowOff>
                  </from>
                  <to>
                    <xdr:col>8</xdr:col>
                    <xdr:colOff>495300</xdr:colOff>
                    <xdr:row>10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446" r:id="rId7" name="Option Button 14">
              <controlPr defaultSize="0" autoFill="0" autoLine="0" autoPict="0">
                <anchor moveWithCells="1">
                  <from>
                    <xdr:col>0</xdr:col>
                    <xdr:colOff>609600</xdr:colOff>
                    <xdr:row>10</xdr:row>
                    <xdr:rowOff>180975</xdr:rowOff>
                  </from>
                  <to>
                    <xdr:col>6</xdr:col>
                    <xdr:colOff>38100</xdr:colOff>
                    <xdr:row>12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447" r:id="rId8" name="Option Button 15">
              <controlPr defaultSize="0" autoFill="0" autoLine="0" autoPict="0">
                <anchor moveWithCells="1">
                  <from>
                    <xdr:col>0</xdr:col>
                    <xdr:colOff>609600</xdr:colOff>
                    <xdr:row>12</xdr:row>
                    <xdr:rowOff>76200</xdr:rowOff>
                  </from>
                  <to>
                    <xdr:col>6</xdr:col>
                    <xdr:colOff>76200</xdr:colOff>
                    <xdr:row>13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448" r:id="rId9" name="Option Button 16">
              <controlPr defaultSize="0" autoFill="0" autoLine="0" autoPict="0">
                <anchor moveWithCells="1">
                  <from>
                    <xdr:col>0</xdr:col>
                    <xdr:colOff>609600</xdr:colOff>
                    <xdr:row>13</xdr:row>
                    <xdr:rowOff>180975</xdr:rowOff>
                  </from>
                  <to>
                    <xdr:col>8</xdr:col>
                    <xdr:colOff>304800</xdr:colOff>
                    <xdr:row>15</xdr:row>
                    <xdr:rowOff>85725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78A47D-1676-467C-9FD2-EE04E7DB575C}">
  <sheetPr codeName="Munka14">
    <tabColor rgb="FF00B0F0"/>
  </sheetPr>
  <dimension ref="A1:N18"/>
  <sheetViews>
    <sheetView showGridLines="0" showRowColHeaders="0" workbookViewId="0">
      <selection activeCell="H14" sqref="H14"/>
    </sheetView>
  </sheetViews>
  <sheetFormatPr defaultRowHeight="15" x14ac:dyDescent="0.25"/>
  <cols>
    <col min="2" max="2" width="14.140625" customWidth="1"/>
    <col min="4" max="4" width="10.42578125" bestFit="1" customWidth="1"/>
  </cols>
  <sheetData>
    <row r="1" spans="1:14" x14ac:dyDescent="0.25">
      <c r="A1" s="48"/>
      <c r="B1" s="48"/>
      <c r="C1" s="48"/>
    </row>
    <row r="2" spans="1:14" x14ac:dyDescent="0.25">
      <c r="A2" s="48"/>
      <c r="B2" s="48"/>
      <c r="C2" s="48"/>
    </row>
    <row r="4" spans="1:14" ht="15" customHeight="1" x14ac:dyDescent="0.25">
      <c r="B4" s="248" t="s">
        <v>20</v>
      </c>
      <c r="C4" s="249"/>
      <c r="D4" s="249"/>
      <c r="E4" s="249"/>
      <c r="F4" s="249"/>
      <c r="G4" s="249"/>
      <c r="H4" s="250"/>
      <c r="J4" s="132" t="s">
        <v>65</v>
      </c>
      <c r="K4" s="132"/>
      <c r="L4" s="132"/>
      <c r="M4" s="132"/>
      <c r="N4" s="132"/>
    </row>
    <row r="5" spans="1:14" ht="15" customHeight="1" x14ac:dyDescent="0.25">
      <c r="B5" s="251"/>
      <c r="C5" s="252"/>
      <c r="D5" s="252"/>
      <c r="E5" s="252"/>
      <c r="F5" s="252"/>
      <c r="G5" s="252"/>
      <c r="H5" s="253"/>
      <c r="J5" s="132"/>
      <c r="K5" s="132"/>
      <c r="L5" s="132"/>
      <c r="M5" s="132"/>
      <c r="N5" s="132"/>
    </row>
    <row r="6" spans="1:14" x14ac:dyDescent="0.25">
      <c r="J6" s="191" t="s">
        <v>113</v>
      </c>
      <c r="K6" s="191"/>
      <c r="L6" s="191"/>
      <c r="M6" s="191"/>
      <c r="N6" s="191"/>
    </row>
    <row r="7" spans="1:14" x14ac:dyDescent="0.25">
      <c r="J7" s="191" t="s">
        <v>102</v>
      </c>
      <c r="K7" s="191"/>
      <c r="L7" s="191"/>
      <c r="M7" s="191"/>
      <c r="N7" s="191"/>
    </row>
    <row r="8" spans="1:14" ht="15.75" x14ac:dyDescent="0.25">
      <c r="B8" s="53" t="s">
        <v>37</v>
      </c>
      <c r="D8" s="125" t="s">
        <v>78</v>
      </c>
      <c r="E8" s="125"/>
      <c r="J8" s="188" t="s">
        <v>103</v>
      </c>
      <c r="K8" s="189"/>
      <c r="L8" s="189"/>
      <c r="M8" s="189"/>
      <c r="N8" s="190"/>
    </row>
    <row r="9" spans="1:14" ht="14.25" customHeight="1" x14ac:dyDescent="0.25">
      <c r="B9" s="273" t="s">
        <v>20</v>
      </c>
      <c r="D9" s="131">
        <f>Kezdőlap!E41</f>
        <v>7300</v>
      </c>
      <c r="E9" s="131"/>
    </row>
    <row r="10" spans="1:14" ht="15.75" customHeight="1" x14ac:dyDescent="0.25">
      <c r="B10" s="273"/>
      <c r="D10" s="131"/>
      <c r="E10" s="131"/>
    </row>
    <row r="11" spans="1:14" ht="15" customHeight="1" x14ac:dyDescent="0.25">
      <c r="B11" s="273"/>
      <c r="D11" s="131"/>
      <c r="E11" s="131"/>
    </row>
    <row r="12" spans="1:14" ht="15" customHeight="1" x14ac:dyDescent="0.25">
      <c r="B12" s="273"/>
      <c r="D12" s="131"/>
      <c r="E12" s="131"/>
    </row>
    <row r="13" spans="1:14" ht="15" customHeight="1" x14ac:dyDescent="0.25">
      <c r="B13" s="273"/>
      <c r="D13" s="131"/>
      <c r="E13" s="131"/>
    </row>
    <row r="14" spans="1:14" x14ac:dyDescent="0.25">
      <c r="B14" s="273"/>
    </row>
    <row r="15" spans="1:14" x14ac:dyDescent="0.25">
      <c r="B15" s="273"/>
    </row>
    <row r="16" spans="1:14" x14ac:dyDescent="0.25">
      <c r="B16" s="273"/>
    </row>
    <row r="17" spans="2:2" ht="15.75" x14ac:dyDescent="0.25">
      <c r="B17" s="16" t="s">
        <v>114</v>
      </c>
    </row>
    <row r="18" spans="2:2" x14ac:dyDescent="0.25">
      <c r="B18" s="40">
        <f>Kezdőlap!E35</f>
        <v>12100</v>
      </c>
    </row>
  </sheetData>
  <sheetProtection sheet="1" objects="1" scenarios="1" selectLockedCells="1"/>
  <mergeCells count="8">
    <mergeCell ref="B9:B16"/>
    <mergeCell ref="D9:E13"/>
    <mergeCell ref="D8:E8"/>
    <mergeCell ref="J4:N5"/>
    <mergeCell ref="J6:N6"/>
    <mergeCell ref="J7:N7"/>
    <mergeCell ref="J8:N8"/>
    <mergeCell ref="B4:H5"/>
  </mergeCells>
  <conditionalFormatting sqref="B17">
    <cfRule type="containsText" dxfId="49" priority="1" operator="containsText" text="Vizsga">
      <formula>NOT(ISERROR(SEARCH("Vizsga",B17)))</formula>
    </cfRule>
  </conditionalFormatting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F5A01A-FFDF-45ED-9C62-EB2FF72AB069}">
  <sheetPr codeName="Munka15">
    <tabColor rgb="FF00B0F0"/>
  </sheetPr>
  <dimension ref="B3:Z37"/>
  <sheetViews>
    <sheetView showGridLines="0" showRowColHeaders="0" workbookViewId="0">
      <selection activeCell="O16" sqref="O16"/>
    </sheetView>
  </sheetViews>
  <sheetFormatPr defaultRowHeight="15" x14ac:dyDescent="0.25"/>
  <cols>
    <col min="2" max="2" width="10.42578125" bestFit="1" customWidth="1"/>
    <col min="5" max="6" width="10.42578125" bestFit="1" customWidth="1"/>
    <col min="17" max="17" width="10.42578125" bestFit="1" customWidth="1"/>
    <col min="24" max="24" width="6.85546875" style="66" hidden="1" customWidth="1"/>
    <col min="26" max="26" width="6.85546875" style="66" hidden="1" customWidth="1"/>
  </cols>
  <sheetData>
    <row r="3" spans="2:26" ht="15" customHeight="1" x14ac:dyDescent="0.25"/>
    <row r="4" spans="2:26" ht="15.75" x14ac:dyDescent="0.25">
      <c r="B4" s="133" t="s">
        <v>21</v>
      </c>
      <c r="C4" s="133"/>
      <c r="D4" s="133"/>
      <c r="E4" s="133"/>
      <c r="F4" s="133"/>
      <c r="G4" s="133"/>
      <c r="H4" s="133"/>
      <c r="I4" s="133"/>
      <c r="J4" s="133"/>
      <c r="L4" s="265" t="s">
        <v>52</v>
      </c>
      <c r="M4" s="266"/>
      <c r="N4" s="266"/>
      <c r="O4" s="266"/>
      <c r="P4" s="266"/>
      <c r="Q4" s="267"/>
      <c r="S4" s="149" t="s">
        <v>65</v>
      </c>
      <c r="T4" s="150"/>
      <c r="U4" s="150"/>
      <c r="V4" s="151"/>
      <c r="X4" s="66" t="b">
        <v>0</v>
      </c>
      <c r="Z4" s="66" t="b">
        <v>0</v>
      </c>
    </row>
    <row r="5" spans="2:26" x14ac:dyDescent="0.25">
      <c r="B5" s="133"/>
      <c r="C5" s="133"/>
      <c r="D5" s="133"/>
      <c r="E5" s="133"/>
      <c r="F5" s="133"/>
      <c r="G5" s="133"/>
      <c r="H5" s="133"/>
      <c r="I5" s="133"/>
      <c r="J5" s="133"/>
      <c r="L5" s="13"/>
      <c r="M5" s="14"/>
      <c r="N5" s="14"/>
      <c r="O5" s="14"/>
      <c r="P5" s="41"/>
      <c r="Q5" s="15"/>
      <c r="S5" s="152"/>
      <c r="T5" s="153"/>
      <c r="U5" s="153"/>
      <c r="V5" s="154"/>
      <c r="X5" s="66" t="b">
        <v>0</v>
      </c>
      <c r="Z5" s="66" t="b">
        <v>0</v>
      </c>
    </row>
    <row r="6" spans="2:26" x14ac:dyDescent="0.25">
      <c r="B6" s="279" t="s">
        <v>100</v>
      </c>
      <c r="C6" s="279"/>
      <c r="D6" s="279"/>
      <c r="E6" s="279"/>
      <c r="F6" s="279"/>
      <c r="G6" s="279"/>
      <c r="H6" s="279"/>
      <c r="I6" s="279"/>
      <c r="J6" s="279"/>
      <c r="L6" s="6"/>
      <c r="M6" s="7"/>
      <c r="N6" s="7"/>
      <c r="O6" s="7"/>
      <c r="P6" s="7"/>
      <c r="Q6" s="8"/>
      <c r="S6" s="188" t="s">
        <v>102</v>
      </c>
      <c r="T6" s="189"/>
      <c r="U6" s="189"/>
      <c r="V6" s="190"/>
      <c r="X6" s="66" t="b">
        <v>0</v>
      </c>
      <c r="Z6" s="66" t="b">
        <v>0</v>
      </c>
    </row>
    <row r="7" spans="2:26" x14ac:dyDescent="0.25">
      <c r="B7" s="13"/>
      <c r="C7" s="14"/>
      <c r="D7" s="14"/>
      <c r="E7" s="14"/>
      <c r="F7" s="14"/>
      <c r="G7" s="14"/>
      <c r="H7" s="14"/>
      <c r="I7" s="14"/>
      <c r="J7" s="15"/>
      <c r="L7" s="6"/>
      <c r="M7" s="7"/>
      <c r="N7" s="7"/>
      <c r="O7" s="7"/>
      <c r="P7" s="7"/>
      <c r="Q7" s="8"/>
      <c r="S7" s="188" t="s">
        <v>103</v>
      </c>
      <c r="T7" s="189"/>
      <c r="U7" s="189"/>
      <c r="V7" s="190"/>
      <c r="X7" s="66" t="b">
        <v>0</v>
      </c>
    </row>
    <row r="8" spans="2:26" x14ac:dyDescent="0.25">
      <c r="B8" s="6"/>
      <c r="C8" s="7"/>
      <c r="D8" s="7"/>
      <c r="E8" s="7"/>
      <c r="F8" s="7"/>
      <c r="G8" s="7"/>
      <c r="H8" s="7"/>
      <c r="I8" s="7"/>
      <c r="J8" s="8"/>
      <c r="L8" s="6"/>
      <c r="M8" s="7"/>
      <c r="N8" s="7"/>
      <c r="O8" s="7"/>
      <c r="P8" s="7"/>
      <c r="Q8" s="8"/>
      <c r="X8" s="66" t="b">
        <v>0</v>
      </c>
    </row>
    <row r="9" spans="2:26" ht="15.75" x14ac:dyDescent="0.25">
      <c r="B9" s="6"/>
      <c r="C9" s="7"/>
      <c r="D9" s="7"/>
      <c r="E9" s="7"/>
      <c r="F9" s="7"/>
      <c r="G9" s="7"/>
      <c r="H9" s="7"/>
      <c r="I9" s="7"/>
      <c r="J9" s="8"/>
      <c r="L9" s="9"/>
      <c r="M9" s="10"/>
      <c r="N9" s="10"/>
      <c r="O9" s="10"/>
      <c r="P9" s="10"/>
      <c r="Q9" s="11"/>
      <c r="S9" s="265" t="s">
        <v>263</v>
      </c>
      <c r="T9" s="266"/>
      <c r="U9" s="266"/>
      <c r="V9" s="267"/>
      <c r="X9" s="66" t="b">
        <v>0</v>
      </c>
    </row>
    <row r="10" spans="2:26" x14ac:dyDescent="0.25">
      <c r="B10" s="6"/>
      <c r="C10" s="7"/>
      <c r="D10" s="7"/>
      <c r="E10" s="7"/>
      <c r="F10" s="7"/>
      <c r="G10" s="7"/>
      <c r="H10" s="7"/>
      <c r="I10" s="7"/>
      <c r="J10" s="8"/>
      <c r="S10" s="155" t="str">
        <f>IF(OR(X11,X13,X14)=TRUE,"Sikeres vizsgát követően kérelmezhető a képesítés kiterjesztése egyéb úszólétesítményre.","")</f>
        <v/>
      </c>
      <c r="T10" s="156"/>
      <c r="U10" s="156"/>
      <c r="V10" s="157"/>
      <c r="X10" s="66" t="b">
        <v>0</v>
      </c>
    </row>
    <row r="11" spans="2:26" x14ac:dyDescent="0.25">
      <c r="B11" s="6"/>
      <c r="C11" s="7"/>
      <c r="D11" s="7"/>
      <c r="E11" s="7"/>
      <c r="F11" s="7"/>
      <c r="G11" s="7"/>
      <c r="H11" s="7"/>
      <c r="I11" s="7"/>
      <c r="J11" s="8"/>
      <c r="S11" s="158"/>
      <c r="T11" s="159"/>
      <c r="U11" s="159"/>
      <c r="V11" s="160"/>
      <c r="X11" s="66" t="b">
        <v>0</v>
      </c>
    </row>
    <row r="12" spans="2:26" x14ac:dyDescent="0.25">
      <c r="B12" s="6"/>
      <c r="C12" s="7"/>
      <c r="D12" s="7"/>
      <c r="E12" s="7"/>
      <c r="F12" s="7"/>
      <c r="G12" s="7"/>
      <c r="H12" s="7"/>
      <c r="I12" s="7"/>
      <c r="J12" s="8"/>
      <c r="S12" s="158"/>
      <c r="T12" s="159"/>
      <c r="U12" s="159"/>
      <c r="V12" s="160"/>
      <c r="X12" s="66" t="b">
        <v>0</v>
      </c>
    </row>
    <row r="13" spans="2:26" x14ac:dyDescent="0.25">
      <c r="B13" s="6"/>
      <c r="C13" s="7"/>
      <c r="D13" s="7"/>
      <c r="E13" s="7"/>
      <c r="F13" s="7"/>
      <c r="G13" s="7"/>
      <c r="H13" s="7"/>
      <c r="I13" s="7"/>
      <c r="J13" s="8"/>
      <c r="S13" s="161"/>
      <c r="T13" s="162"/>
      <c r="U13" s="162"/>
      <c r="V13" s="163"/>
      <c r="X13" s="66" t="b">
        <v>0</v>
      </c>
    </row>
    <row r="14" spans="2:26" x14ac:dyDescent="0.25">
      <c r="B14" s="6"/>
      <c r="C14" s="7"/>
      <c r="D14" s="7"/>
      <c r="E14" s="7"/>
      <c r="F14" s="7"/>
      <c r="G14" s="7"/>
      <c r="H14" s="7"/>
      <c r="I14" s="7"/>
      <c r="J14" s="8"/>
      <c r="X14" s="66" t="b">
        <v>0</v>
      </c>
    </row>
    <row r="15" spans="2:26" x14ac:dyDescent="0.25">
      <c r="B15" s="6"/>
      <c r="C15" s="7"/>
      <c r="D15" s="7"/>
      <c r="E15" s="7"/>
      <c r="F15" s="7"/>
      <c r="G15" s="7"/>
      <c r="H15" s="7"/>
      <c r="I15" s="7"/>
      <c r="J15" s="8"/>
    </row>
    <row r="16" spans="2:26" x14ac:dyDescent="0.25">
      <c r="B16" s="6"/>
      <c r="C16" s="7"/>
      <c r="D16" s="7"/>
      <c r="E16" s="7"/>
      <c r="F16" s="7"/>
      <c r="G16" s="7"/>
      <c r="H16" s="7"/>
      <c r="I16" s="7"/>
      <c r="J16" s="8"/>
    </row>
    <row r="17" spans="2:20" x14ac:dyDescent="0.25">
      <c r="B17" s="6"/>
      <c r="C17" s="7"/>
      <c r="D17" s="7"/>
      <c r="E17" s="7"/>
      <c r="F17" s="7"/>
      <c r="G17" s="7"/>
      <c r="H17" s="7"/>
      <c r="I17" s="7"/>
      <c r="J17" s="8"/>
    </row>
    <row r="18" spans="2:20" x14ac:dyDescent="0.25">
      <c r="B18" s="6"/>
      <c r="C18" s="7"/>
      <c r="D18" s="7"/>
      <c r="E18" s="7"/>
      <c r="F18" s="7"/>
      <c r="G18" s="7"/>
      <c r="H18" s="7"/>
      <c r="I18" s="7"/>
      <c r="J18" s="8"/>
    </row>
    <row r="19" spans="2:20" x14ac:dyDescent="0.25">
      <c r="B19" s="6"/>
      <c r="C19" s="7"/>
      <c r="D19" s="7"/>
      <c r="E19" s="7"/>
      <c r="F19" s="7"/>
      <c r="G19" s="7"/>
      <c r="H19" s="7"/>
      <c r="I19" s="7"/>
      <c r="J19" s="8"/>
    </row>
    <row r="20" spans="2:20" x14ac:dyDescent="0.25">
      <c r="B20" s="6"/>
      <c r="C20" s="7"/>
      <c r="D20" s="7"/>
      <c r="E20" s="7"/>
      <c r="F20" s="7"/>
      <c r="G20" s="7"/>
      <c r="H20" s="7"/>
      <c r="I20" s="7"/>
      <c r="J20" s="8"/>
    </row>
    <row r="21" spans="2:20" x14ac:dyDescent="0.25">
      <c r="B21" s="9"/>
      <c r="C21" s="10"/>
      <c r="D21" s="10"/>
      <c r="E21" s="10"/>
      <c r="F21" s="10"/>
      <c r="G21" s="10"/>
      <c r="H21" s="10"/>
      <c r="I21" s="10"/>
      <c r="J21" s="11"/>
    </row>
    <row r="22" spans="2:20" ht="9" customHeight="1" thickBot="1" x14ac:dyDescent="0.3"/>
    <row r="23" spans="2:20" ht="16.5" thickBot="1" x14ac:dyDescent="0.3">
      <c r="B23" s="283" t="s">
        <v>37</v>
      </c>
      <c r="C23" s="284"/>
      <c r="D23" s="284"/>
      <c r="E23" s="284"/>
      <c r="F23" s="284"/>
      <c r="G23" s="284"/>
      <c r="H23" s="284"/>
      <c r="I23" s="284"/>
      <c r="J23" s="284"/>
      <c r="K23" s="284"/>
      <c r="L23" s="284"/>
      <c r="M23" s="284"/>
      <c r="N23" s="284"/>
      <c r="O23" s="285"/>
      <c r="Q23" s="125" t="s">
        <v>43</v>
      </c>
      <c r="R23" s="125"/>
      <c r="S23" s="125" t="s">
        <v>78</v>
      </c>
      <c r="T23" s="125"/>
    </row>
    <row r="24" spans="2:20" ht="15.75" x14ac:dyDescent="0.25">
      <c r="B24" s="280" t="s">
        <v>129</v>
      </c>
      <c r="C24" s="281"/>
      <c r="D24" s="281"/>
      <c r="E24" s="281"/>
      <c r="F24" s="281"/>
      <c r="G24" s="281"/>
      <c r="H24" s="282"/>
      <c r="I24" s="280" t="s">
        <v>130</v>
      </c>
      <c r="J24" s="281"/>
      <c r="K24" s="281"/>
      <c r="L24" s="281"/>
      <c r="M24" s="281"/>
      <c r="N24" s="281"/>
      <c r="O24" s="282"/>
      <c r="Q24" s="258">
        <f>SUM(B37:O37)</f>
        <v>0</v>
      </c>
      <c r="R24" s="258"/>
      <c r="S24" s="131">
        <f>Kezdőlap!E41</f>
        <v>7300</v>
      </c>
      <c r="T24" s="131"/>
    </row>
    <row r="25" spans="2:20" ht="15.75" customHeight="1" x14ac:dyDescent="0.25">
      <c r="B25" s="286" t="s">
        <v>115</v>
      </c>
      <c r="C25" s="273" t="s">
        <v>116</v>
      </c>
      <c r="D25" s="273" t="s">
        <v>117</v>
      </c>
      <c r="E25" s="273" t="s">
        <v>118</v>
      </c>
      <c r="F25" s="273" t="s">
        <v>119</v>
      </c>
      <c r="G25" s="273" t="s">
        <v>120</v>
      </c>
      <c r="H25" s="287" t="s">
        <v>121</v>
      </c>
      <c r="I25" s="286" t="s">
        <v>122</v>
      </c>
      <c r="J25" s="273" t="s">
        <v>123</v>
      </c>
      <c r="K25" s="273" t="s">
        <v>124</v>
      </c>
      <c r="L25" s="273" t="s">
        <v>125</v>
      </c>
      <c r="M25" s="273" t="s">
        <v>126</v>
      </c>
      <c r="N25" s="273" t="s">
        <v>127</v>
      </c>
      <c r="O25" s="287" t="s">
        <v>128</v>
      </c>
      <c r="Q25" s="258"/>
      <c r="R25" s="258"/>
      <c r="S25" s="131"/>
      <c r="T25" s="131"/>
    </row>
    <row r="26" spans="2:20" x14ac:dyDescent="0.25">
      <c r="B26" s="286"/>
      <c r="C26" s="273"/>
      <c r="D26" s="273"/>
      <c r="E26" s="273"/>
      <c r="F26" s="273"/>
      <c r="G26" s="273"/>
      <c r="H26" s="287"/>
      <c r="I26" s="286"/>
      <c r="J26" s="273"/>
      <c r="K26" s="273"/>
      <c r="L26" s="273"/>
      <c r="M26" s="273"/>
      <c r="N26" s="273"/>
      <c r="O26" s="287"/>
      <c r="Q26" s="258"/>
      <c r="R26" s="258"/>
      <c r="S26" s="131"/>
      <c r="T26" s="131"/>
    </row>
    <row r="27" spans="2:20" x14ac:dyDescent="0.25">
      <c r="B27" s="286"/>
      <c r="C27" s="273"/>
      <c r="D27" s="273"/>
      <c r="E27" s="273"/>
      <c r="F27" s="273"/>
      <c r="G27" s="273"/>
      <c r="H27" s="287"/>
      <c r="I27" s="286"/>
      <c r="J27" s="273"/>
      <c r="K27" s="273"/>
      <c r="L27" s="273"/>
      <c r="M27" s="273"/>
      <c r="N27" s="273"/>
      <c r="O27" s="287"/>
      <c r="Q27" s="258"/>
      <c r="R27" s="258"/>
      <c r="S27" s="131"/>
      <c r="T27" s="131"/>
    </row>
    <row r="28" spans="2:20" x14ac:dyDescent="0.25">
      <c r="B28" s="286"/>
      <c r="C28" s="273"/>
      <c r="D28" s="273"/>
      <c r="E28" s="273"/>
      <c r="F28" s="273"/>
      <c r="G28" s="273"/>
      <c r="H28" s="287"/>
      <c r="I28" s="286"/>
      <c r="J28" s="273"/>
      <c r="K28" s="273"/>
      <c r="L28" s="273"/>
      <c r="M28" s="273"/>
      <c r="N28" s="273"/>
      <c r="O28" s="287"/>
      <c r="Q28" s="258"/>
      <c r="R28" s="258"/>
      <c r="S28" s="131"/>
      <c r="T28" s="131"/>
    </row>
    <row r="29" spans="2:20" x14ac:dyDescent="0.25">
      <c r="B29" s="286"/>
      <c r="C29" s="273"/>
      <c r="D29" s="273"/>
      <c r="E29" s="273"/>
      <c r="F29" s="273"/>
      <c r="G29" s="273"/>
      <c r="H29" s="287"/>
      <c r="I29" s="286"/>
      <c r="J29" s="273"/>
      <c r="K29" s="273"/>
      <c r="L29" s="273"/>
      <c r="M29" s="273"/>
      <c r="N29" s="273"/>
      <c r="O29" s="287"/>
      <c r="Q29" s="258"/>
      <c r="R29" s="258"/>
      <c r="S29" s="131"/>
      <c r="T29" s="131"/>
    </row>
    <row r="30" spans="2:20" x14ac:dyDescent="0.25">
      <c r="B30" s="286"/>
      <c r="C30" s="273"/>
      <c r="D30" s="273"/>
      <c r="E30" s="273"/>
      <c r="F30" s="273"/>
      <c r="G30" s="273"/>
      <c r="H30" s="287"/>
      <c r="I30" s="286"/>
      <c r="J30" s="273"/>
      <c r="K30" s="273"/>
      <c r="L30" s="273"/>
      <c r="M30" s="273"/>
      <c r="N30" s="273"/>
      <c r="O30" s="287"/>
    </row>
    <row r="31" spans="2:20" x14ac:dyDescent="0.25">
      <c r="B31" s="286"/>
      <c r="C31" s="273"/>
      <c r="D31" s="273"/>
      <c r="E31" s="273"/>
      <c r="F31" s="273"/>
      <c r="G31" s="273"/>
      <c r="H31" s="287"/>
      <c r="I31" s="286"/>
      <c r="J31" s="273"/>
      <c r="K31" s="273"/>
      <c r="L31" s="273"/>
      <c r="M31" s="273"/>
      <c r="N31" s="273"/>
      <c r="O31" s="287"/>
    </row>
    <row r="32" spans="2:20" x14ac:dyDescent="0.25">
      <c r="B32" s="286"/>
      <c r="C32" s="273"/>
      <c r="D32" s="273"/>
      <c r="E32" s="273"/>
      <c r="F32" s="273"/>
      <c r="G32" s="273"/>
      <c r="H32" s="287"/>
      <c r="I32" s="286"/>
      <c r="J32" s="273"/>
      <c r="K32" s="273"/>
      <c r="L32" s="273"/>
      <c r="M32" s="273"/>
      <c r="N32" s="273"/>
      <c r="O32" s="287"/>
    </row>
    <row r="33" spans="2:15" x14ac:dyDescent="0.25">
      <c r="B33" s="286"/>
      <c r="C33" s="273"/>
      <c r="D33" s="273"/>
      <c r="E33" s="273"/>
      <c r="F33" s="273"/>
      <c r="G33" s="273"/>
      <c r="H33" s="287"/>
      <c r="I33" s="286"/>
      <c r="J33" s="273"/>
      <c r="K33" s="273"/>
      <c r="L33" s="273"/>
      <c r="M33" s="273"/>
      <c r="N33" s="273"/>
      <c r="O33" s="287"/>
    </row>
    <row r="34" spans="2:15" x14ac:dyDescent="0.25">
      <c r="B34" s="286"/>
      <c r="C34" s="273"/>
      <c r="D34" s="273"/>
      <c r="E34" s="273"/>
      <c r="F34" s="273"/>
      <c r="G34" s="273"/>
      <c r="H34" s="287"/>
      <c r="I34" s="286"/>
      <c r="J34" s="273"/>
      <c r="K34" s="273"/>
      <c r="L34" s="273"/>
      <c r="M34" s="273"/>
      <c r="N34" s="273"/>
      <c r="O34" s="287"/>
    </row>
    <row r="35" spans="2:15" x14ac:dyDescent="0.25">
      <c r="B35" s="286"/>
      <c r="C35" s="273"/>
      <c r="D35" s="273"/>
      <c r="E35" s="273"/>
      <c r="F35" s="273"/>
      <c r="G35" s="273"/>
      <c r="H35" s="287"/>
      <c r="I35" s="286"/>
      <c r="J35" s="273"/>
      <c r="K35" s="273"/>
      <c r="L35" s="273"/>
      <c r="M35" s="273"/>
      <c r="N35" s="273"/>
      <c r="O35" s="287"/>
    </row>
    <row r="36" spans="2:15" ht="15.75" x14ac:dyDescent="0.25">
      <c r="B36" s="59" t="str">
        <f>IF(AND(X4=FALSE),"-",IF(OR(Z4,Z5,Z6)=TRUE,"Felmentés",IF(OR(X4)=TRUE,"Vizsga")))</f>
        <v>-</v>
      </c>
      <c r="C36" s="16" t="str">
        <f>IF(AND(X4=FALSE),"-",IF(OR(X4)=TRUE,"Vizsga"))</f>
        <v>-</v>
      </c>
      <c r="D36" s="16" t="str">
        <f>IF(AND(X4=FALSE),"-",IF(OR(X4)=TRUE,"Vizsga"))</f>
        <v>-</v>
      </c>
      <c r="E36" s="16" t="str">
        <f>IF(AND(X4=FALSE),"-",IF(OR(Z4,Z5,Z6)=TRUE,"Felmentés",IF(OR(X4)=TRUE,"Vizsga")))</f>
        <v>-</v>
      </c>
      <c r="F36" s="16" t="str">
        <f>IF(AND(X4=FALSE),"-",IF(OR(Z4,Z5,Z6)=TRUE,"Felmentés",IF(OR(X4)=TRUE,"Vizsga")))</f>
        <v>-</v>
      </c>
      <c r="G36" s="16" t="str">
        <f>IF(AND(X5=TRUE,X4=TRUE),"Vizsga","-")</f>
        <v>-</v>
      </c>
      <c r="H36" s="60" t="str">
        <f>IF(AND(X6=TRUE,X4=TRUE),"Vizsga","-")</f>
        <v>-</v>
      </c>
      <c r="I36" s="59" t="str">
        <f>IF(AND(X7=FALSE,X8=FALSE,X9=FALSE,X10=FALSE),"-",IF(OR(X7,X8,X9,X10)=TRUE,"Vizsga"))</f>
        <v>-</v>
      </c>
      <c r="J36" s="16" t="str">
        <f>IF(AND(X7=FALSE,X8=FALSE,X9=FALSE,X10=FALSE),"-",IF(OR(X7,X8,X9,X10)=TRUE,"Vizsga"))</f>
        <v>-</v>
      </c>
      <c r="K36" s="16" t="str">
        <f>IF(AND(X7=FALSE,X8=FALSE,X9=FALSE,X10=FALSE),"-",IF(OR(X7,X8,X9,X10)=TRUE,"Vizsga"))</f>
        <v>-</v>
      </c>
      <c r="L36" s="16" t="str">
        <f>IF(AND(X7=FALSE,X14=FALSE),"-",IF(OR(X7=TRUE,X14=TRUE),"Vizsga"))</f>
        <v>-</v>
      </c>
      <c r="M36" s="16" t="str">
        <f>IF(AND(X8=FALSE,X13=FALSE),"-",IF(OR(X8=TRUE,X13=TRUE),"Vizsga"))</f>
        <v>-</v>
      </c>
      <c r="N36" s="16" t="str">
        <f>IF(AND(X9=FALSE,X11=FALSE),"-",IF(OR(X9=TRUE,X11=TRUE),"Vizsga"))</f>
        <v>-</v>
      </c>
      <c r="O36" s="60" t="str">
        <f>IF(AND(X10=FALSE),"-",IF(OR(X10)=TRUE,"Vizsga"))</f>
        <v>-</v>
      </c>
    </row>
    <row r="37" spans="2:15" ht="15.75" thickBot="1" x14ac:dyDescent="0.3">
      <c r="B37" s="61">
        <f>IF(B36="Vizsga",Kezdőlap!E37,0)</f>
        <v>0</v>
      </c>
      <c r="C37" s="62">
        <f>IF(C36="Vizsga",Kezdőlap!E37,0)</f>
        <v>0</v>
      </c>
      <c r="D37" s="62">
        <f>IF(D36="Vizsga",Kezdőlap!E37,0)</f>
        <v>0</v>
      </c>
      <c r="E37" s="62">
        <f>IF(E36="Vizsga",Kezdőlap!E37,0)</f>
        <v>0</v>
      </c>
      <c r="F37" s="62">
        <f>IF(F36="Vizsga",Kezdőlap!E37,0)</f>
        <v>0</v>
      </c>
      <c r="G37" s="62">
        <f>IF(G36="Vizsga",Kezdőlap!E37,0)</f>
        <v>0</v>
      </c>
      <c r="H37" s="63">
        <f>IF(H36="Vizsga",Kezdőlap!E37,0)</f>
        <v>0</v>
      </c>
      <c r="I37" s="61">
        <f>IF(I36="Vizsga",Kezdőlap!E37,0)</f>
        <v>0</v>
      </c>
      <c r="J37" s="62">
        <f>IF(J36="Vizsga",Kezdőlap!E37,0)</f>
        <v>0</v>
      </c>
      <c r="K37" s="62">
        <f>IF(K36="Vizsga",Kezdőlap!E37,0)</f>
        <v>0</v>
      </c>
      <c r="L37" s="62">
        <f>IF(L36="Vizsga",Kezdőlap!E37,0)</f>
        <v>0</v>
      </c>
      <c r="M37" s="62">
        <f>IF(M36="Vizsga",Kezdőlap!E37,0)</f>
        <v>0</v>
      </c>
      <c r="N37" s="62">
        <f>IF(N36="Vizsga",Kezdőlap!E37,0)</f>
        <v>0</v>
      </c>
      <c r="O37" s="63">
        <f>IF(O36="Vizsga",Kezdőlap!E37,0)</f>
        <v>0</v>
      </c>
    </row>
  </sheetData>
  <sheetProtection sheet="1" objects="1" scenarios="1" selectLockedCells="1"/>
  <mergeCells count="29">
    <mergeCell ref="N25:N35"/>
    <mergeCell ref="O25:O35"/>
    <mergeCell ref="S24:T29"/>
    <mergeCell ref="I25:I35"/>
    <mergeCell ref="J25:J35"/>
    <mergeCell ref="K25:K35"/>
    <mergeCell ref="L25:L35"/>
    <mergeCell ref="M25:M35"/>
    <mergeCell ref="B24:H24"/>
    <mergeCell ref="I24:O24"/>
    <mergeCell ref="B23:O23"/>
    <mergeCell ref="S6:V6"/>
    <mergeCell ref="S7:V7"/>
    <mergeCell ref="S23:T23"/>
    <mergeCell ref="S10:V13"/>
    <mergeCell ref="S9:V9"/>
    <mergeCell ref="Q24:R29"/>
    <mergeCell ref="B25:B35"/>
    <mergeCell ref="C25:C35"/>
    <mergeCell ref="D25:D35"/>
    <mergeCell ref="E25:E35"/>
    <mergeCell ref="F25:F35"/>
    <mergeCell ref="G25:G35"/>
    <mergeCell ref="H25:H35"/>
    <mergeCell ref="S4:V5"/>
    <mergeCell ref="L4:Q4"/>
    <mergeCell ref="B6:J6"/>
    <mergeCell ref="B4:J5"/>
    <mergeCell ref="Q23:R23"/>
  </mergeCells>
  <conditionalFormatting sqref="B36:O36">
    <cfRule type="containsText" dxfId="48" priority="1" operator="containsText" text="Vizsga">
      <formula>NOT(ISERROR(SEARCH("Vizsga",B36)))</formula>
    </cfRule>
  </conditionalFormatting>
  <pageMargins left="0.7" right="0.7" top="0.75" bottom="0.75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1506" r:id="rId4" name="Check Box 2">
              <controlPr defaultSize="0" autoFill="0" autoLine="0" autoPict="0">
                <anchor moveWithCells="1">
                  <from>
                    <xdr:col>0</xdr:col>
                    <xdr:colOff>609600</xdr:colOff>
                    <xdr:row>5</xdr:row>
                    <xdr:rowOff>180975</xdr:rowOff>
                  </from>
                  <to>
                    <xdr:col>8</xdr:col>
                    <xdr:colOff>285750</xdr:colOff>
                    <xdr:row>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09" r:id="rId5" name="Check Box 5">
              <controlPr defaultSize="0" autoFill="0" autoLine="0" autoPict="0">
                <anchor moveWithCells="1">
                  <from>
                    <xdr:col>1</xdr:col>
                    <xdr:colOff>152400</xdr:colOff>
                    <xdr:row>7</xdr:row>
                    <xdr:rowOff>47625</xdr:rowOff>
                  </from>
                  <to>
                    <xdr:col>5</xdr:col>
                    <xdr:colOff>209550</xdr:colOff>
                    <xdr:row>8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10" r:id="rId6" name="Check Box 6">
              <controlPr defaultSize="0" autoFill="0" autoLine="0" autoPict="0">
                <anchor moveWithCells="1">
                  <from>
                    <xdr:col>1</xdr:col>
                    <xdr:colOff>152400</xdr:colOff>
                    <xdr:row>8</xdr:row>
                    <xdr:rowOff>123825</xdr:rowOff>
                  </from>
                  <to>
                    <xdr:col>5</xdr:col>
                    <xdr:colOff>209550</xdr:colOff>
                    <xdr:row>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11" r:id="rId7" name="Check Box 7">
              <controlPr defaultSize="0" autoFill="0" autoLine="0" autoPict="0">
                <anchor moveWithCells="1">
                  <from>
                    <xdr:col>0</xdr:col>
                    <xdr:colOff>609600</xdr:colOff>
                    <xdr:row>10</xdr:row>
                    <xdr:rowOff>28575</xdr:rowOff>
                  </from>
                  <to>
                    <xdr:col>7</xdr:col>
                    <xdr:colOff>400050</xdr:colOff>
                    <xdr:row>11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12" r:id="rId8" name="Check Box 8">
              <controlPr defaultSize="0" autoFill="0" autoLine="0" autoPict="0">
                <anchor moveWithCells="1">
                  <from>
                    <xdr:col>0</xdr:col>
                    <xdr:colOff>609600</xdr:colOff>
                    <xdr:row>11</xdr:row>
                    <xdr:rowOff>123825</xdr:rowOff>
                  </from>
                  <to>
                    <xdr:col>7</xdr:col>
                    <xdr:colOff>400050</xdr:colOff>
                    <xdr:row>12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13" r:id="rId9" name="Check Box 9">
              <controlPr defaultSize="0" autoFill="0" autoLine="0" autoPict="0">
                <anchor moveWithCells="1">
                  <from>
                    <xdr:col>0</xdr:col>
                    <xdr:colOff>609600</xdr:colOff>
                    <xdr:row>13</xdr:row>
                    <xdr:rowOff>0</xdr:rowOff>
                  </from>
                  <to>
                    <xdr:col>9</xdr:col>
                    <xdr:colOff>247650</xdr:colOff>
                    <xdr:row>14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14" r:id="rId10" name="Check Box 10">
              <controlPr defaultSize="0" autoFill="0" autoLine="0" autoPict="0">
                <anchor moveWithCells="1">
                  <from>
                    <xdr:col>1</xdr:col>
                    <xdr:colOff>0</xdr:colOff>
                    <xdr:row>14</xdr:row>
                    <xdr:rowOff>104775</xdr:rowOff>
                  </from>
                  <to>
                    <xdr:col>9</xdr:col>
                    <xdr:colOff>447675</xdr:colOff>
                    <xdr:row>15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15" r:id="rId11" name="Check Box 11">
              <controlPr defaultSize="0" autoFill="0" autoLine="0" autoPict="0">
                <anchor moveWithCells="1">
                  <from>
                    <xdr:col>0</xdr:col>
                    <xdr:colOff>609600</xdr:colOff>
                    <xdr:row>16</xdr:row>
                    <xdr:rowOff>9525</xdr:rowOff>
                  </from>
                  <to>
                    <xdr:col>9</xdr:col>
                    <xdr:colOff>552450</xdr:colOff>
                    <xdr:row>17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17" r:id="rId12" name="Check Box 13">
              <controlPr defaultSize="0" autoFill="0" autoLine="0" autoPict="0">
                <anchor moveWithCells="1">
                  <from>
                    <xdr:col>0</xdr:col>
                    <xdr:colOff>609600</xdr:colOff>
                    <xdr:row>17</xdr:row>
                    <xdr:rowOff>76200</xdr:rowOff>
                  </from>
                  <to>
                    <xdr:col>9</xdr:col>
                    <xdr:colOff>571500</xdr:colOff>
                    <xdr:row>18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18" r:id="rId13" name="Check Box 14">
              <controlPr defaultSize="0" autoFill="0" autoLine="0" autoPict="0">
                <anchor moveWithCells="1">
                  <from>
                    <xdr:col>1</xdr:col>
                    <xdr:colOff>0</xdr:colOff>
                    <xdr:row>18</xdr:row>
                    <xdr:rowOff>133350</xdr:rowOff>
                  </from>
                  <to>
                    <xdr:col>9</xdr:col>
                    <xdr:colOff>561975</xdr:colOff>
                    <xdr:row>19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20" r:id="rId14" name="Check Box 16">
              <controlPr defaultSize="0" autoFill="0" autoLine="0" autoPict="0">
                <anchor moveWithCells="1">
                  <from>
                    <xdr:col>11</xdr:col>
                    <xdr:colOff>28575</xdr:colOff>
                    <xdr:row>4</xdr:row>
                    <xdr:rowOff>85725</xdr:rowOff>
                  </from>
                  <to>
                    <xdr:col>16</xdr:col>
                    <xdr:colOff>514350</xdr:colOff>
                    <xdr:row>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21" r:id="rId15" name="Check Box 17">
              <controlPr defaultSize="0" autoFill="0" autoLine="0" autoPict="0">
                <anchor moveWithCells="1">
                  <from>
                    <xdr:col>11</xdr:col>
                    <xdr:colOff>28575</xdr:colOff>
                    <xdr:row>5</xdr:row>
                    <xdr:rowOff>180975</xdr:rowOff>
                  </from>
                  <to>
                    <xdr:col>16</xdr:col>
                    <xdr:colOff>371475</xdr:colOff>
                    <xdr:row>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22" r:id="rId16" name="Check Box 18">
              <controlPr defaultSize="0" autoFill="0" autoLine="0" autoPict="0">
                <anchor moveWithCells="1">
                  <from>
                    <xdr:col>11</xdr:col>
                    <xdr:colOff>28575</xdr:colOff>
                    <xdr:row>7</xdr:row>
                    <xdr:rowOff>76200</xdr:rowOff>
                  </from>
                  <to>
                    <xdr:col>16</xdr:col>
                    <xdr:colOff>9525</xdr:colOff>
                    <xdr:row>8</xdr:row>
                    <xdr:rowOff>104775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63F70C-169E-4A90-B985-7C93FFA64302}">
  <sheetPr codeName="Munka16">
    <tabColor rgb="FF00B0F0"/>
  </sheetPr>
  <dimension ref="A1:AA35"/>
  <sheetViews>
    <sheetView showGridLines="0" showRowColHeaders="0" workbookViewId="0">
      <selection activeCell="E2" sqref="E2"/>
    </sheetView>
  </sheetViews>
  <sheetFormatPr defaultRowHeight="15" x14ac:dyDescent="0.25"/>
  <cols>
    <col min="2" max="10" width="17.42578125" bestFit="1" customWidth="1"/>
    <col min="14" max="14" width="12.28515625" bestFit="1" customWidth="1"/>
    <col min="15" max="15" width="6.5703125" customWidth="1"/>
    <col min="20" max="20" width="16.28515625" customWidth="1"/>
    <col min="25" max="25" width="13.140625" customWidth="1"/>
    <col min="26" max="26" width="15.7109375" customWidth="1"/>
    <col min="27" max="27" width="9.140625" style="66" hidden="1" customWidth="1"/>
  </cols>
  <sheetData>
    <row r="1" spans="1:27" x14ac:dyDescent="0.25">
      <c r="A1" s="48"/>
      <c r="B1" s="48"/>
      <c r="C1" s="48"/>
    </row>
    <row r="2" spans="1:27" x14ac:dyDescent="0.25">
      <c r="A2" s="48"/>
      <c r="B2" s="48"/>
      <c r="C2" s="48"/>
    </row>
    <row r="4" spans="1:27" x14ac:dyDescent="0.25">
      <c r="B4" s="248" t="s">
        <v>27</v>
      </c>
      <c r="C4" s="249"/>
      <c r="D4" s="249"/>
      <c r="E4" s="249"/>
      <c r="F4" s="249"/>
      <c r="G4" s="249"/>
      <c r="H4" s="250"/>
      <c r="I4" s="35"/>
      <c r="J4" s="289" t="s">
        <v>35</v>
      </c>
      <c r="K4" s="290"/>
      <c r="L4" s="290"/>
      <c r="M4" s="291"/>
      <c r="N4" s="35"/>
      <c r="P4" s="132" t="s">
        <v>65</v>
      </c>
      <c r="Q4" s="132"/>
      <c r="R4" s="132"/>
      <c r="S4" s="132"/>
      <c r="T4" s="132"/>
    </row>
    <row r="5" spans="1:27" x14ac:dyDescent="0.25">
      <c r="B5" s="251"/>
      <c r="C5" s="252"/>
      <c r="D5" s="252"/>
      <c r="E5" s="252"/>
      <c r="F5" s="252"/>
      <c r="G5" s="252"/>
      <c r="H5" s="253"/>
      <c r="I5" s="35"/>
      <c r="J5" s="292"/>
      <c r="K5" s="293"/>
      <c r="L5" s="293"/>
      <c r="M5" s="294"/>
      <c r="N5" s="35"/>
      <c r="P5" s="132"/>
      <c r="Q5" s="132"/>
      <c r="R5" s="132"/>
      <c r="S5" s="132"/>
      <c r="T5" s="132"/>
    </row>
    <row r="6" spans="1:27" x14ac:dyDescent="0.25">
      <c r="B6" s="275" t="s">
        <v>131</v>
      </c>
      <c r="C6" s="276"/>
      <c r="D6" s="276"/>
      <c r="E6" s="276"/>
      <c r="F6" s="276"/>
      <c r="G6" s="276"/>
      <c r="H6" s="277"/>
      <c r="I6" s="42"/>
      <c r="J6" s="232" t="str">
        <f>IF(AA6=TRUE,"6 havi géphajón vagy egyéb önálló gépüzemű úszólétesítményen szerzett gépüzemi gyakorlat","Géphajón vagy egyéb önálló gépüzemű úszólétesítményen szerzett legalább 12 havi gépüzemi vagy matróz – gépkezelő gyakorlat")</f>
        <v>Géphajón vagy egyéb önálló gépüzemű úszólétesítményen szerzett legalább 12 havi gépüzemi vagy matróz – gépkezelő gyakorlat</v>
      </c>
      <c r="K6" s="233"/>
      <c r="L6" s="233"/>
      <c r="M6" s="234"/>
      <c r="N6" s="42"/>
      <c r="P6" s="191" t="s">
        <v>86</v>
      </c>
      <c r="Q6" s="191"/>
      <c r="R6" s="191"/>
      <c r="S6" s="191"/>
      <c r="T6" s="191"/>
      <c r="AA6" s="66" t="b">
        <v>0</v>
      </c>
    </row>
    <row r="7" spans="1:27" x14ac:dyDescent="0.25">
      <c r="B7" s="13"/>
      <c r="C7" s="14"/>
      <c r="D7" s="14"/>
      <c r="E7" s="14"/>
      <c r="F7" s="14"/>
      <c r="G7" s="14"/>
      <c r="H7" s="15"/>
      <c r="J7" s="235"/>
      <c r="K7" s="236"/>
      <c r="L7" s="236"/>
      <c r="M7" s="237"/>
      <c r="P7" s="191" t="s">
        <v>141</v>
      </c>
      <c r="Q7" s="191"/>
      <c r="R7" s="191"/>
      <c r="S7" s="191"/>
      <c r="T7" s="191"/>
      <c r="AA7" s="66" t="b">
        <v>0</v>
      </c>
    </row>
    <row r="8" spans="1:27" x14ac:dyDescent="0.25">
      <c r="B8" s="6"/>
      <c r="C8" s="7"/>
      <c r="D8" s="7"/>
      <c r="E8" s="7"/>
      <c r="F8" s="7"/>
      <c r="G8" s="7"/>
      <c r="H8" s="8"/>
      <c r="J8" s="235"/>
      <c r="K8" s="236"/>
      <c r="L8" s="236"/>
      <c r="M8" s="237"/>
      <c r="P8" s="191" t="s">
        <v>73</v>
      </c>
      <c r="Q8" s="191"/>
      <c r="R8" s="191"/>
      <c r="S8" s="191"/>
      <c r="T8" s="191"/>
      <c r="AA8" s="66" t="b">
        <v>0</v>
      </c>
    </row>
    <row r="9" spans="1:27" x14ac:dyDescent="0.25">
      <c r="B9" s="6"/>
      <c r="C9" s="7"/>
      <c r="D9" s="7"/>
      <c r="E9" s="7"/>
      <c r="F9" s="7"/>
      <c r="G9" s="7"/>
      <c r="H9" s="8"/>
      <c r="J9" s="235"/>
      <c r="K9" s="236"/>
      <c r="L9" s="236"/>
      <c r="M9" s="237"/>
      <c r="P9" s="257" t="s">
        <v>142</v>
      </c>
      <c r="Q9" s="257"/>
      <c r="R9" s="257"/>
      <c r="S9" s="257"/>
      <c r="T9" s="257"/>
    </row>
    <row r="10" spans="1:27" x14ac:dyDescent="0.25">
      <c r="B10" s="6"/>
      <c r="C10" s="7"/>
      <c r="D10" s="7"/>
      <c r="E10" s="7"/>
      <c r="F10" s="7"/>
      <c r="G10" s="7"/>
      <c r="H10" s="8"/>
      <c r="J10" s="235"/>
      <c r="K10" s="236"/>
      <c r="L10" s="236"/>
      <c r="M10" s="237"/>
      <c r="P10" s="257"/>
      <c r="Q10" s="257"/>
      <c r="R10" s="257"/>
      <c r="S10" s="257"/>
      <c r="T10" s="257"/>
    </row>
    <row r="11" spans="1:27" x14ac:dyDescent="0.25">
      <c r="B11" s="9"/>
      <c r="C11" s="10"/>
      <c r="D11" s="10"/>
      <c r="E11" s="10"/>
      <c r="F11" s="10"/>
      <c r="G11" s="10"/>
      <c r="H11" s="11"/>
      <c r="J11" s="235"/>
      <c r="K11" s="236"/>
      <c r="L11" s="236"/>
      <c r="M11" s="237"/>
      <c r="P11" s="257" t="str">
        <f>IF(OR(AA6)=TRUE,"Hajózási vagy gépészeti képesítő bizonyítvány vagy képzési igazolás","Legalább alapfokú iskolai végzettség igazolása")</f>
        <v>Legalább alapfokú iskolai végzettség igazolása</v>
      </c>
      <c r="Q11" s="257"/>
      <c r="R11" s="257"/>
      <c r="S11" s="257"/>
      <c r="T11" s="257"/>
    </row>
    <row r="12" spans="1:27" x14ac:dyDescent="0.25">
      <c r="J12" s="235"/>
      <c r="K12" s="236"/>
      <c r="L12" s="236"/>
      <c r="M12" s="237"/>
      <c r="P12" s="257"/>
      <c r="Q12" s="257"/>
      <c r="R12" s="257"/>
      <c r="S12" s="257"/>
      <c r="T12" s="257"/>
    </row>
    <row r="13" spans="1:27" x14ac:dyDescent="0.25">
      <c r="J13" s="238"/>
      <c r="K13" s="239"/>
      <c r="L13" s="239"/>
      <c r="M13" s="240"/>
      <c r="P13" s="191" t="str">
        <f>IF(OR(AA6,AA7,AA8)=TRUE,"Vizsgadíj és/vagy felmentési díj befizetésének igazolása","Vizsgadíj befizetésének igazolása")</f>
        <v>Vizsgadíj befizetésének igazolása</v>
      </c>
      <c r="Q13" s="191"/>
      <c r="R13" s="191"/>
      <c r="S13" s="191"/>
      <c r="T13" s="191"/>
    </row>
    <row r="14" spans="1:27" x14ac:dyDescent="0.25">
      <c r="K14" s="18"/>
      <c r="L14" s="18"/>
      <c r="M14" s="18"/>
      <c r="N14" s="18"/>
      <c r="P14" s="272" t="str">
        <f>IF(OR(AA6,AA7,AA8)=TRUE,"Felmentési kérelemhez: képesítő okmány, vizsgajegyzőkönyv, leckekönyv vagy tanterv","")</f>
        <v/>
      </c>
      <c r="Q14" s="272"/>
      <c r="R14" s="272"/>
      <c r="S14" s="272"/>
      <c r="T14" s="272"/>
    </row>
    <row r="15" spans="1:27" ht="15.75" x14ac:dyDescent="0.25">
      <c r="B15" s="125" t="s">
        <v>37</v>
      </c>
      <c r="C15" s="125"/>
      <c r="D15" s="125"/>
      <c r="E15" s="125"/>
      <c r="F15" s="125"/>
      <c r="G15" s="125"/>
      <c r="H15" s="125"/>
      <c r="I15" s="125"/>
      <c r="J15" s="125"/>
      <c r="L15" s="126" t="s">
        <v>43</v>
      </c>
      <c r="M15" s="126"/>
      <c r="N15" s="52" t="s">
        <v>78</v>
      </c>
      <c r="P15" s="272"/>
      <c r="Q15" s="272"/>
      <c r="R15" s="272"/>
      <c r="S15" s="272"/>
      <c r="T15" s="272"/>
    </row>
    <row r="16" spans="1:27" ht="14.25" customHeight="1" x14ac:dyDescent="0.25">
      <c r="B16" s="263" t="s">
        <v>132</v>
      </c>
      <c r="C16" s="263" t="s">
        <v>133</v>
      </c>
      <c r="D16" s="263" t="s">
        <v>134</v>
      </c>
      <c r="E16" s="263" t="s">
        <v>135</v>
      </c>
      <c r="F16" s="263" t="s">
        <v>136</v>
      </c>
      <c r="G16" s="263" t="s">
        <v>137</v>
      </c>
      <c r="H16" s="263" t="s">
        <v>138</v>
      </c>
      <c r="I16" s="263" t="s">
        <v>139</v>
      </c>
      <c r="J16" s="263" t="s">
        <v>140</v>
      </c>
      <c r="L16" s="288">
        <f>SUM(B28:J28)</f>
        <v>174600</v>
      </c>
      <c r="M16" s="288"/>
      <c r="N16" s="131">
        <f>Kezdőlap!E41</f>
        <v>7300</v>
      </c>
    </row>
    <row r="17" spans="2:20" x14ac:dyDescent="0.25">
      <c r="B17" s="263"/>
      <c r="C17" s="263"/>
      <c r="D17" s="263"/>
      <c r="E17" s="263"/>
      <c r="F17" s="263"/>
      <c r="G17" s="263"/>
      <c r="H17" s="263"/>
      <c r="I17" s="263"/>
      <c r="J17" s="263"/>
      <c r="L17" s="288"/>
      <c r="M17" s="288"/>
      <c r="N17" s="131"/>
      <c r="P17" s="257" t="s">
        <v>143</v>
      </c>
      <c r="Q17" s="257"/>
      <c r="R17" s="257"/>
      <c r="S17" s="257"/>
      <c r="T17" s="257"/>
    </row>
    <row r="18" spans="2:20" x14ac:dyDescent="0.25">
      <c r="B18" s="263"/>
      <c r="C18" s="263"/>
      <c r="D18" s="263"/>
      <c r="E18" s="263"/>
      <c r="F18" s="263"/>
      <c r="G18" s="263"/>
      <c r="H18" s="263"/>
      <c r="I18" s="263"/>
      <c r="J18" s="263"/>
      <c r="L18" s="288"/>
      <c r="M18" s="288"/>
      <c r="N18" s="131"/>
      <c r="P18" s="257"/>
      <c r="Q18" s="257"/>
      <c r="R18" s="257"/>
      <c r="S18" s="257"/>
      <c r="T18" s="257"/>
    </row>
    <row r="19" spans="2:20" x14ac:dyDescent="0.25">
      <c r="B19" s="263"/>
      <c r="C19" s="263"/>
      <c r="D19" s="263"/>
      <c r="E19" s="263"/>
      <c r="F19" s="263"/>
      <c r="G19" s="263"/>
      <c r="H19" s="263"/>
      <c r="I19" s="263"/>
      <c r="J19" s="263"/>
      <c r="L19" s="288"/>
      <c r="M19" s="288"/>
      <c r="N19" s="131"/>
      <c r="P19" s="257"/>
      <c r="Q19" s="257"/>
      <c r="R19" s="257"/>
      <c r="S19" s="257"/>
      <c r="T19" s="257"/>
    </row>
    <row r="20" spans="2:20" x14ac:dyDescent="0.25">
      <c r="B20" s="263"/>
      <c r="C20" s="263"/>
      <c r="D20" s="263"/>
      <c r="E20" s="263"/>
      <c r="F20" s="263"/>
      <c r="G20" s="263"/>
      <c r="H20" s="263"/>
      <c r="I20" s="263"/>
      <c r="J20" s="263"/>
      <c r="L20" s="288"/>
      <c r="M20" s="288"/>
      <c r="N20" s="131"/>
      <c r="P20" s="257"/>
      <c r="Q20" s="257"/>
      <c r="R20" s="257"/>
      <c r="S20" s="257"/>
      <c r="T20" s="257"/>
    </row>
    <row r="21" spans="2:20" x14ac:dyDescent="0.25">
      <c r="B21" s="263"/>
      <c r="C21" s="263"/>
      <c r="D21" s="263"/>
      <c r="E21" s="263"/>
      <c r="F21" s="263"/>
      <c r="G21" s="263"/>
      <c r="H21" s="263"/>
      <c r="I21" s="263"/>
      <c r="J21" s="263"/>
      <c r="L21" s="288"/>
      <c r="M21" s="288"/>
      <c r="N21" s="131"/>
      <c r="P21" s="257"/>
      <c r="Q21" s="257"/>
      <c r="R21" s="257"/>
      <c r="S21" s="257"/>
      <c r="T21" s="257"/>
    </row>
    <row r="22" spans="2:20" x14ac:dyDescent="0.25">
      <c r="B22" s="263"/>
      <c r="C22" s="263"/>
      <c r="D22" s="263"/>
      <c r="E22" s="263"/>
      <c r="F22" s="263"/>
      <c r="G22" s="263"/>
      <c r="H22" s="263"/>
      <c r="I22" s="263"/>
      <c r="J22" s="263"/>
      <c r="L22" s="288"/>
      <c r="M22" s="288"/>
      <c r="N22" s="131"/>
      <c r="P22" s="257"/>
      <c r="Q22" s="257"/>
      <c r="R22" s="257"/>
      <c r="S22" s="257"/>
      <c r="T22" s="257"/>
    </row>
    <row r="23" spans="2:20" x14ac:dyDescent="0.25">
      <c r="B23" s="263"/>
      <c r="C23" s="263"/>
      <c r="D23" s="263"/>
      <c r="E23" s="263"/>
      <c r="F23" s="263"/>
      <c r="G23" s="263"/>
      <c r="H23" s="263"/>
      <c r="I23" s="263"/>
      <c r="J23" s="263"/>
      <c r="P23" s="257"/>
      <c r="Q23" s="257"/>
      <c r="R23" s="257"/>
      <c r="S23" s="257"/>
      <c r="T23" s="257"/>
    </row>
    <row r="24" spans="2:20" x14ac:dyDescent="0.25">
      <c r="B24" s="263"/>
      <c r="C24" s="263"/>
      <c r="D24" s="263"/>
      <c r="E24" s="263"/>
      <c r="F24" s="263"/>
      <c r="G24" s="263"/>
      <c r="H24" s="263"/>
      <c r="I24" s="263"/>
      <c r="J24" s="263"/>
      <c r="P24" s="257" t="str">
        <f>IF(AA6=TRUE,"Hajózási szakképzésben szerzett képesítő bizonyítványként azt a képesítő okmányt lehet elfogadni, amelyet olyan oktatási intézmény adott ki, amelynek tanterve a hajózási hatóság által jóváhagyott szakmai oktatási programot tartalmazza","")</f>
        <v/>
      </c>
      <c r="Q24" s="257"/>
      <c r="R24" s="257"/>
      <c r="S24" s="257"/>
      <c r="T24" s="257"/>
    </row>
    <row r="25" spans="2:20" x14ac:dyDescent="0.25">
      <c r="B25" s="263"/>
      <c r="C25" s="263"/>
      <c r="D25" s="263"/>
      <c r="E25" s="263"/>
      <c r="F25" s="263"/>
      <c r="G25" s="263"/>
      <c r="H25" s="263"/>
      <c r="I25" s="263"/>
      <c r="J25" s="263"/>
      <c r="P25" s="257"/>
      <c r="Q25" s="257"/>
      <c r="R25" s="257"/>
      <c r="S25" s="257"/>
      <c r="T25" s="257"/>
    </row>
    <row r="26" spans="2:20" x14ac:dyDescent="0.25">
      <c r="B26" s="263"/>
      <c r="C26" s="263"/>
      <c r="D26" s="263"/>
      <c r="E26" s="263"/>
      <c r="F26" s="263"/>
      <c r="G26" s="263"/>
      <c r="H26" s="263"/>
      <c r="I26" s="263"/>
      <c r="J26" s="263"/>
      <c r="P26" s="257"/>
      <c r="Q26" s="257"/>
      <c r="R26" s="257"/>
      <c r="S26" s="257"/>
      <c r="T26" s="257"/>
    </row>
    <row r="27" spans="2:20" ht="15.75" x14ac:dyDescent="0.25">
      <c r="B27" s="16" t="str">
        <f t="shared" ref="B27:J27" si="0">IF(OR($AA$6,$AA$7,$AA$8)=TRUE,"Vizsga/felmentés","Vizsga")</f>
        <v>Vizsga</v>
      </c>
      <c r="C27" s="16" t="str">
        <f t="shared" si="0"/>
        <v>Vizsga</v>
      </c>
      <c r="D27" s="16" t="str">
        <f t="shared" si="0"/>
        <v>Vizsga</v>
      </c>
      <c r="E27" s="16" t="str">
        <f t="shared" si="0"/>
        <v>Vizsga</v>
      </c>
      <c r="F27" s="16" t="str">
        <f t="shared" si="0"/>
        <v>Vizsga</v>
      </c>
      <c r="G27" s="16" t="str">
        <f t="shared" si="0"/>
        <v>Vizsga</v>
      </c>
      <c r="H27" s="16" t="str">
        <f t="shared" si="0"/>
        <v>Vizsga</v>
      </c>
      <c r="I27" s="16" t="str">
        <f t="shared" si="0"/>
        <v>Vizsga</v>
      </c>
      <c r="J27" s="16" t="str">
        <f t="shared" si="0"/>
        <v>Vizsga</v>
      </c>
      <c r="P27" s="257"/>
      <c r="Q27" s="257"/>
      <c r="R27" s="257"/>
      <c r="S27" s="257"/>
      <c r="T27" s="257"/>
    </row>
    <row r="28" spans="2:20" ht="15.75" x14ac:dyDescent="0.25">
      <c r="B28" s="55">
        <f>Kezdőlap!$E$38</f>
        <v>19400</v>
      </c>
      <c r="C28" s="55">
        <f>Kezdőlap!$E$38</f>
        <v>19400</v>
      </c>
      <c r="D28" s="55">
        <f>Kezdőlap!$E$38</f>
        <v>19400</v>
      </c>
      <c r="E28" s="55">
        <f>Kezdőlap!$E$38</f>
        <v>19400</v>
      </c>
      <c r="F28" s="55">
        <f>Kezdőlap!$E$38</f>
        <v>19400</v>
      </c>
      <c r="G28" s="55">
        <f>Kezdőlap!$E$38</f>
        <v>19400</v>
      </c>
      <c r="H28" s="55">
        <f>Kezdőlap!$E$38</f>
        <v>19400</v>
      </c>
      <c r="I28" s="55">
        <f>Kezdőlap!$E$38</f>
        <v>19400</v>
      </c>
      <c r="J28" s="55">
        <f>Kezdőlap!$E$38</f>
        <v>19400</v>
      </c>
      <c r="P28" s="257"/>
      <c r="Q28" s="257"/>
      <c r="R28" s="257"/>
      <c r="S28" s="257"/>
      <c r="T28" s="257"/>
    </row>
    <row r="29" spans="2:20" x14ac:dyDescent="0.25">
      <c r="P29" s="257"/>
      <c r="Q29" s="257"/>
      <c r="R29" s="257"/>
      <c r="S29" s="257"/>
      <c r="T29" s="257"/>
    </row>
    <row r="30" spans="2:20" x14ac:dyDescent="0.25">
      <c r="P30" s="257"/>
      <c r="Q30" s="257"/>
      <c r="R30" s="257"/>
      <c r="S30" s="257"/>
      <c r="T30" s="257"/>
    </row>
    <row r="32" spans="2:20" x14ac:dyDescent="0.25">
      <c r="P32" s="213" t="s">
        <v>279</v>
      </c>
      <c r="Q32" s="214"/>
      <c r="R32" s="214"/>
      <c r="S32" s="214"/>
      <c r="T32" s="215"/>
    </row>
    <row r="33" spans="16:20" x14ac:dyDescent="0.25">
      <c r="P33" s="216"/>
      <c r="Q33" s="217"/>
      <c r="R33" s="217"/>
      <c r="S33" s="217"/>
      <c r="T33" s="218"/>
    </row>
    <row r="34" spans="16:20" x14ac:dyDescent="0.25">
      <c r="P34" s="216"/>
      <c r="Q34" s="217"/>
      <c r="R34" s="217"/>
      <c r="S34" s="217"/>
      <c r="T34" s="218"/>
    </row>
    <row r="35" spans="16:20" x14ac:dyDescent="0.25">
      <c r="P35" s="219"/>
      <c r="Q35" s="220"/>
      <c r="R35" s="220"/>
      <c r="S35" s="220"/>
      <c r="T35" s="221"/>
    </row>
  </sheetData>
  <sheetProtection sheet="1" objects="1" scenarios="1" selectLockedCells="1"/>
  <mergeCells count="28">
    <mergeCell ref="P32:T35"/>
    <mergeCell ref="P17:T23"/>
    <mergeCell ref="B4:H5"/>
    <mergeCell ref="B6:H6"/>
    <mergeCell ref="P9:T10"/>
    <mergeCell ref="P13:T13"/>
    <mergeCell ref="J4:M5"/>
    <mergeCell ref="P4:T5"/>
    <mergeCell ref="P7:T7"/>
    <mergeCell ref="P6:T6"/>
    <mergeCell ref="P8:T8"/>
    <mergeCell ref="J6:M13"/>
    <mergeCell ref="P24:T30"/>
    <mergeCell ref="B15:J15"/>
    <mergeCell ref="P14:T15"/>
    <mergeCell ref="P11:T12"/>
    <mergeCell ref="N16:N22"/>
    <mergeCell ref="L15:M15"/>
    <mergeCell ref="B16:B26"/>
    <mergeCell ref="C16:C26"/>
    <mergeCell ref="D16:D26"/>
    <mergeCell ref="E16:E26"/>
    <mergeCell ref="F16:F26"/>
    <mergeCell ref="G16:G26"/>
    <mergeCell ref="H16:H26"/>
    <mergeCell ref="I16:I26"/>
    <mergeCell ref="J16:J26"/>
    <mergeCell ref="L16:M22"/>
  </mergeCells>
  <conditionalFormatting sqref="B27:J27">
    <cfRule type="containsText" dxfId="47" priority="1" operator="containsText" text="Vizsga">
      <formula>NOT(ISERROR(SEARCH("Vizsga",B27)))</formula>
    </cfRule>
  </conditionalFormatting>
  <pageMargins left="0.7" right="0.7" top="0.75" bottom="0.75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4577" r:id="rId4" name="Check Box 1">
              <controlPr defaultSize="0" autoFill="0" autoLine="0" autoPict="0">
                <anchor moveWithCells="1">
                  <from>
                    <xdr:col>1</xdr:col>
                    <xdr:colOff>47625</xdr:colOff>
                    <xdr:row>6</xdr:row>
                    <xdr:rowOff>85725</xdr:rowOff>
                  </from>
                  <to>
                    <xdr:col>6</xdr:col>
                    <xdr:colOff>257175</xdr:colOff>
                    <xdr:row>7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578" r:id="rId5" name="Check Box 2">
              <controlPr defaultSize="0" autoFill="0" autoLine="0" autoPict="0">
                <anchor moveWithCells="1">
                  <from>
                    <xdr:col>1</xdr:col>
                    <xdr:colOff>47625</xdr:colOff>
                    <xdr:row>7</xdr:row>
                    <xdr:rowOff>161925</xdr:rowOff>
                  </from>
                  <to>
                    <xdr:col>8</xdr:col>
                    <xdr:colOff>542925</xdr:colOff>
                    <xdr:row>9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579" r:id="rId6" name="Check Box 3">
              <controlPr defaultSize="0" autoFill="0" autoLine="0" autoPict="0">
                <anchor moveWithCells="1">
                  <from>
                    <xdr:col>1</xdr:col>
                    <xdr:colOff>47625</xdr:colOff>
                    <xdr:row>9</xdr:row>
                    <xdr:rowOff>142875</xdr:rowOff>
                  </from>
                  <to>
                    <xdr:col>7</xdr:col>
                    <xdr:colOff>571500</xdr:colOff>
                    <xdr:row>11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56A6D0-8488-4510-BDA0-9A8B40C918A8}">
  <sheetPr codeName="Munka17">
    <tabColor rgb="FF00B0F0"/>
  </sheetPr>
  <dimension ref="A1:Z33"/>
  <sheetViews>
    <sheetView showGridLines="0" showRowColHeaders="0" workbookViewId="0">
      <selection activeCell="X17" sqref="X17"/>
    </sheetView>
  </sheetViews>
  <sheetFormatPr defaultRowHeight="15" x14ac:dyDescent="0.25"/>
  <cols>
    <col min="2" max="6" width="17.42578125" bestFit="1" customWidth="1"/>
    <col min="10" max="10" width="10.42578125" bestFit="1" customWidth="1"/>
    <col min="26" max="26" width="6.85546875" style="66" hidden="1" customWidth="1"/>
  </cols>
  <sheetData>
    <row r="1" spans="1:26" x14ac:dyDescent="0.25">
      <c r="A1" s="48"/>
      <c r="B1" s="48"/>
      <c r="C1" s="48"/>
    </row>
    <row r="2" spans="1:26" x14ac:dyDescent="0.25">
      <c r="A2" s="48"/>
      <c r="B2" s="48"/>
      <c r="C2" s="48"/>
    </row>
    <row r="4" spans="1:26" x14ac:dyDescent="0.25">
      <c r="B4" s="248" t="s">
        <v>28</v>
      </c>
      <c r="C4" s="249"/>
      <c r="D4" s="249"/>
      <c r="E4" s="249"/>
      <c r="F4" s="249"/>
      <c r="G4" s="249"/>
      <c r="H4" s="249"/>
      <c r="I4" s="250"/>
      <c r="J4" s="35"/>
      <c r="K4" s="126" t="s">
        <v>149</v>
      </c>
      <c r="L4" s="126"/>
      <c r="M4" s="126"/>
      <c r="N4" s="126"/>
      <c r="P4" s="126" t="s">
        <v>65</v>
      </c>
      <c r="Q4" s="126"/>
      <c r="R4" s="126"/>
      <c r="S4" s="126"/>
      <c r="T4" s="126"/>
      <c r="U4" s="126"/>
    </row>
    <row r="5" spans="1:26" x14ac:dyDescent="0.25">
      <c r="B5" s="251"/>
      <c r="C5" s="252"/>
      <c r="D5" s="252"/>
      <c r="E5" s="252"/>
      <c r="F5" s="252"/>
      <c r="G5" s="252"/>
      <c r="H5" s="252"/>
      <c r="I5" s="253"/>
      <c r="J5" s="35"/>
      <c r="K5" s="126"/>
      <c r="L5" s="126"/>
      <c r="M5" s="126"/>
      <c r="N5" s="126"/>
      <c r="P5" s="126"/>
      <c r="Q5" s="126"/>
      <c r="R5" s="126"/>
      <c r="S5" s="126"/>
      <c r="T5" s="126"/>
      <c r="U5" s="126"/>
    </row>
    <row r="6" spans="1:26" x14ac:dyDescent="0.25">
      <c r="B6" s="254" t="s">
        <v>131</v>
      </c>
      <c r="C6" s="255"/>
      <c r="D6" s="255"/>
      <c r="E6" s="255"/>
      <c r="F6" s="255"/>
      <c r="G6" s="255"/>
      <c r="H6" s="255"/>
      <c r="I6" s="256"/>
      <c r="J6" s="2"/>
      <c r="K6" s="257" t="str">
        <f>IF(Z7=TRUE,"",IF(Z6=TRUE,"Gépkezelői képesítés birtokában géphajón vagy egyéb önálló gépüzemű úszólétesítményen szerzett 6 havi gépüzemi gyakorlat","Gépkezelői képesítés birtokában géphajón vagy egyéb önálló gépüzemű úszólétesítményen szerzett legalább 12 havi gépüzemi gyakorlat"))</f>
        <v>Gépkezelői képesítés birtokában géphajón vagy egyéb önálló gépüzemű úszólétesítményen szerzett legalább 12 havi gépüzemi gyakorlat</v>
      </c>
      <c r="L6" s="257"/>
      <c r="M6" s="257"/>
      <c r="N6" s="257"/>
      <c r="P6" s="148" t="s">
        <v>141</v>
      </c>
      <c r="Q6" s="148"/>
      <c r="R6" s="148"/>
      <c r="S6" s="148"/>
      <c r="T6" s="148"/>
      <c r="U6" s="148"/>
      <c r="Z6" s="66" t="b">
        <v>0</v>
      </c>
    </row>
    <row r="7" spans="1:26" x14ac:dyDescent="0.25">
      <c r="B7" s="13"/>
      <c r="C7" s="14"/>
      <c r="D7" s="14"/>
      <c r="E7" s="14"/>
      <c r="F7" s="14"/>
      <c r="G7" s="14"/>
      <c r="H7" s="14"/>
      <c r="I7" s="15"/>
      <c r="K7" s="257"/>
      <c r="L7" s="257"/>
      <c r="M7" s="257"/>
      <c r="N7" s="257"/>
      <c r="P7" s="148" t="str">
        <f>IF(Z7=TRUE,"Okmányigénylés","Írásos vizsgajelentkezési/felmentési kérelem")</f>
        <v>Írásos vizsgajelentkezési/felmentési kérelem</v>
      </c>
      <c r="Q7" s="148"/>
      <c r="R7" s="148"/>
      <c r="S7" s="148"/>
      <c r="T7" s="148"/>
      <c r="U7" s="148"/>
      <c r="Z7" s="66" t="b">
        <v>0</v>
      </c>
    </row>
    <row r="8" spans="1:26" x14ac:dyDescent="0.25">
      <c r="B8" s="6"/>
      <c r="C8" s="7"/>
      <c r="D8" s="7"/>
      <c r="E8" s="7"/>
      <c r="F8" s="7"/>
      <c r="G8" s="7"/>
      <c r="H8" s="7"/>
      <c r="I8" s="8"/>
      <c r="K8" s="257"/>
      <c r="L8" s="257"/>
      <c r="M8" s="257"/>
      <c r="N8" s="257"/>
      <c r="P8" s="148" t="s">
        <v>57</v>
      </c>
      <c r="Q8" s="148"/>
      <c r="R8" s="148"/>
      <c r="S8" s="148"/>
      <c r="T8" s="148"/>
      <c r="U8" s="148"/>
      <c r="Z8" s="66" t="b">
        <v>0</v>
      </c>
    </row>
    <row r="9" spans="1:26" x14ac:dyDescent="0.25">
      <c r="B9" s="6"/>
      <c r="C9" s="7"/>
      <c r="D9" s="7"/>
      <c r="E9" s="7"/>
      <c r="F9" s="7"/>
      <c r="G9" s="7"/>
      <c r="H9" s="7"/>
      <c r="I9" s="8"/>
      <c r="K9" s="257"/>
      <c r="L9" s="257"/>
      <c r="M9" s="257"/>
      <c r="N9" s="257"/>
      <c r="P9" s="148" t="s">
        <v>150</v>
      </c>
      <c r="Q9" s="148"/>
      <c r="R9" s="148"/>
      <c r="S9" s="148"/>
      <c r="T9" s="148"/>
      <c r="U9" s="148"/>
      <c r="Z9" s="66" t="b">
        <v>0</v>
      </c>
    </row>
    <row r="10" spans="1:26" x14ac:dyDescent="0.25">
      <c r="B10" s="6"/>
      <c r="C10" s="7"/>
      <c r="D10" s="7"/>
      <c r="E10" s="7"/>
      <c r="F10" s="7"/>
      <c r="G10" s="7"/>
      <c r="H10" s="7"/>
      <c r="I10" s="8"/>
      <c r="K10" s="257"/>
      <c r="L10" s="257"/>
      <c r="M10" s="257"/>
      <c r="N10" s="257"/>
      <c r="P10" s="148" t="str">
        <f>IF(Z7=TRUE,"Tengerész géptiszti képesítés","Gépkezelő képesítés")</f>
        <v>Gépkezelő képesítés</v>
      </c>
      <c r="Q10" s="148"/>
      <c r="R10" s="148"/>
      <c r="S10" s="148"/>
      <c r="T10" s="148"/>
      <c r="U10" s="148"/>
    </row>
    <row r="11" spans="1:26" x14ac:dyDescent="0.25">
      <c r="B11" s="6"/>
      <c r="C11" s="7"/>
      <c r="D11" s="7"/>
      <c r="E11" s="7"/>
      <c r="F11" s="7"/>
      <c r="G11" s="7"/>
      <c r="H11" s="7"/>
      <c r="I11" s="8"/>
      <c r="K11" s="257"/>
      <c r="L11" s="257"/>
      <c r="M11" s="257"/>
      <c r="N11" s="257"/>
      <c r="P11" s="257" t="str">
        <f>IF(Z7=TRUE,"","Igazolás legalább egy nagyjavítás felügyelet mellett történő irányításáról")</f>
        <v>Igazolás legalább egy nagyjavítás felügyelet mellett történő irányításáról</v>
      </c>
      <c r="Q11" s="257"/>
      <c r="R11" s="257"/>
      <c r="S11" s="257"/>
      <c r="T11" s="257"/>
      <c r="U11" s="257"/>
    </row>
    <row r="12" spans="1:26" x14ac:dyDescent="0.25">
      <c r="B12" s="6"/>
      <c r="C12" s="7"/>
      <c r="D12" s="7"/>
      <c r="E12" s="7"/>
      <c r="F12" s="7"/>
      <c r="G12" s="7"/>
      <c r="H12" s="7"/>
      <c r="I12" s="8"/>
      <c r="K12" s="257"/>
      <c r="L12" s="257"/>
      <c r="M12" s="257"/>
      <c r="N12" s="257"/>
      <c r="P12" s="257"/>
      <c r="Q12" s="257"/>
      <c r="R12" s="257"/>
      <c r="S12" s="257"/>
      <c r="T12" s="257"/>
      <c r="U12" s="257"/>
    </row>
    <row r="13" spans="1:26" x14ac:dyDescent="0.25">
      <c r="B13" s="9"/>
      <c r="C13" s="10"/>
      <c r="D13" s="10"/>
      <c r="E13" s="10"/>
      <c r="F13" s="10"/>
      <c r="G13" s="10"/>
      <c r="H13" s="10"/>
      <c r="I13" s="11"/>
      <c r="K13" s="257"/>
      <c r="L13" s="257"/>
      <c r="M13" s="257"/>
      <c r="N13" s="257"/>
      <c r="P13" s="257" t="str">
        <f>IF(OR(Z6,Z8,Z9=TRUE),"Felmentési kérelemhez: képesítő okmány, vizsgajegyzőkönyv, leckekönyv vagy tanterv","")</f>
        <v/>
      </c>
      <c r="Q13" s="257"/>
      <c r="R13" s="257"/>
      <c r="S13" s="257"/>
      <c r="T13" s="257"/>
      <c r="U13" s="257"/>
    </row>
    <row r="14" spans="1:26" x14ac:dyDescent="0.25">
      <c r="P14" s="257"/>
      <c r="Q14" s="257"/>
      <c r="R14" s="257"/>
      <c r="S14" s="257"/>
      <c r="T14" s="257"/>
      <c r="U14" s="257"/>
    </row>
    <row r="15" spans="1:26" x14ac:dyDescent="0.25">
      <c r="G15" s="18"/>
      <c r="H15" s="18"/>
      <c r="I15" s="18"/>
      <c r="J15" s="18"/>
      <c r="P15" s="257" t="str">
        <f>IF(Z6=TRUE,"A hajózási, gépészeti szakképzésben szerzett képesítő bizonyítvány vagy szervezett géptiszti képzés elvégzéséről szóló igazolás bemutatása","")</f>
        <v/>
      </c>
      <c r="Q15" s="257"/>
      <c r="R15" s="257"/>
      <c r="S15" s="257"/>
      <c r="T15" s="257"/>
      <c r="U15" s="257"/>
    </row>
    <row r="16" spans="1:26" x14ac:dyDescent="0.25">
      <c r="P16" s="257"/>
      <c r="Q16" s="257"/>
      <c r="R16" s="257"/>
      <c r="S16" s="257"/>
      <c r="T16" s="257"/>
      <c r="U16" s="257"/>
    </row>
    <row r="17" spans="2:25" ht="15.75" x14ac:dyDescent="0.25">
      <c r="B17" s="125" t="s">
        <v>37</v>
      </c>
      <c r="C17" s="125"/>
      <c r="D17" s="125"/>
      <c r="E17" s="125"/>
      <c r="F17" s="125"/>
      <c r="H17" s="125" t="s">
        <v>43</v>
      </c>
      <c r="I17" s="125"/>
      <c r="J17" s="125" t="s">
        <v>78</v>
      </c>
      <c r="K17" s="125"/>
      <c r="P17" s="257"/>
      <c r="Q17" s="257"/>
      <c r="R17" s="257"/>
      <c r="S17" s="257"/>
      <c r="T17" s="257"/>
      <c r="U17" s="257"/>
    </row>
    <row r="18" spans="2:25" ht="13.5" customHeight="1" x14ac:dyDescent="0.25">
      <c r="B18" s="263" t="s">
        <v>144</v>
      </c>
      <c r="C18" s="263" t="s">
        <v>145</v>
      </c>
      <c r="D18" s="263" t="s">
        <v>146</v>
      </c>
      <c r="E18" s="263" t="s">
        <v>147</v>
      </c>
      <c r="F18" s="263" t="s">
        <v>148</v>
      </c>
      <c r="H18" s="288">
        <f>SUM(B30:F30)</f>
        <v>97000</v>
      </c>
      <c r="I18" s="288"/>
      <c r="J18" s="131">
        <f>Kezdőlap!E41</f>
        <v>7300</v>
      </c>
      <c r="K18" s="131"/>
    </row>
    <row r="19" spans="2:25" x14ac:dyDescent="0.25">
      <c r="B19" s="263"/>
      <c r="C19" s="263"/>
      <c r="D19" s="263"/>
      <c r="E19" s="263"/>
      <c r="F19" s="263"/>
      <c r="H19" s="288"/>
      <c r="I19" s="288"/>
      <c r="J19" s="131"/>
      <c r="K19" s="131"/>
      <c r="P19" s="155" t="s">
        <v>151</v>
      </c>
      <c r="Q19" s="156"/>
      <c r="R19" s="156"/>
      <c r="S19" s="156"/>
      <c r="T19" s="156"/>
      <c r="U19" s="157"/>
    </row>
    <row r="20" spans="2:25" x14ac:dyDescent="0.25">
      <c r="B20" s="263"/>
      <c r="C20" s="263"/>
      <c r="D20" s="263"/>
      <c r="E20" s="263"/>
      <c r="F20" s="263"/>
      <c r="H20" s="288"/>
      <c r="I20" s="288"/>
      <c r="J20" s="131"/>
      <c r="K20" s="131"/>
      <c r="P20" s="158"/>
      <c r="Q20" s="159"/>
      <c r="R20" s="159"/>
      <c r="S20" s="159"/>
      <c r="T20" s="159"/>
      <c r="U20" s="160"/>
    </row>
    <row r="21" spans="2:25" x14ac:dyDescent="0.25">
      <c r="B21" s="263"/>
      <c r="C21" s="263"/>
      <c r="D21" s="263"/>
      <c r="E21" s="263"/>
      <c r="F21" s="263"/>
      <c r="H21" s="288"/>
      <c r="I21" s="288"/>
      <c r="J21" s="131"/>
      <c r="K21" s="131"/>
      <c r="P21" s="158"/>
      <c r="Q21" s="159"/>
      <c r="R21" s="159"/>
      <c r="S21" s="159"/>
      <c r="T21" s="159"/>
      <c r="U21" s="160"/>
      <c r="V21" s="19"/>
      <c r="W21" s="19"/>
      <c r="X21" s="19"/>
      <c r="Y21" s="19"/>
    </row>
    <row r="22" spans="2:25" ht="15" customHeight="1" x14ac:dyDescent="0.25">
      <c r="B22" s="263"/>
      <c r="C22" s="263"/>
      <c r="D22" s="263"/>
      <c r="E22" s="263"/>
      <c r="F22" s="263"/>
      <c r="H22" s="288"/>
      <c r="I22" s="288"/>
      <c r="J22" s="131"/>
      <c r="K22" s="131"/>
      <c r="P22" s="158"/>
      <c r="Q22" s="159"/>
      <c r="R22" s="159"/>
      <c r="S22" s="159"/>
      <c r="T22" s="159"/>
      <c r="U22" s="160"/>
    </row>
    <row r="23" spans="2:25" x14ac:dyDescent="0.25">
      <c r="B23" s="263"/>
      <c r="C23" s="263"/>
      <c r="D23" s="263"/>
      <c r="E23" s="263"/>
      <c r="F23" s="263"/>
      <c r="H23" s="288"/>
      <c r="I23" s="288"/>
      <c r="J23" s="131"/>
      <c r="K23" s="131"/>
      <c r="P23" s="158"/>
      <c r="Q23" s="159"/>
      <c r="R23" s="159"/>
      <c r="S23" s="159"/>
      <c r="T23" s="159"/>
      <c r="U23" s="160"/>
    </row>
    <row r="24" spans="2:25" x14ac:dyDescent="0.25">
      <c r="B24" s="263"/>
      <c r="C24" s="263"/>
      <c r="D24" s="263"/>
      <c r="E24" s="263"/>
      <c r="F24" s="263"/>
      <c r="H24" s="288"/>
      <c r="I24" s="288"/>
      <c r="J24" s="131"/>
      <c r="K24" s="131"/>
      <c r="P24" s="158"/>
      <c r="Q24" s="159"/>
      <c r="R24" s="159"/>
      <c r="S24" s="159"/>
      <c r="T24" s="159"/>
      <c r="U24" s="160"/>
    </row>
    <row r="25" spans="2:25" x14ac:dyDescent="0.25">
      <c r="B25" s="263"/>
      <c r="C25" s="263"/>
      <c r="D25" s="263"/>
      <c r="E25" s="263"/>
      <c r="F25" s="263"/>
      <c r="P25" s="158"/>
      <c r="Q25" s="159"/>
      <c r="R25" s="159"/>
      <c r="S25" s="159"/>
      <c r="T25" s="159"/>
      <c r="U25" s="160"/>
    </row>
    <row r="26" spans="2:25" x14ac:dyDescent="0.25">
      <c r="B26" s="263"/>
      <c r="C26" s="263"/>
      <c r="D26" s="263"/>
      <c r="E26" s="263"/>
      <c r="F26" s="263"/>
      <c r="P26" s="158"/>
      <c r="Q26" s="159"/>
      <c r="R26" s="159"/>
      <c r="S26" s="159"/>
      <c r="T26" s="159"/>
      <c r="U26" s="160"/>
    </row>
    <row r="27" spans="2:25" x14ac:dyDescent="0.25">
      <c r="B27" s="263"/>
      <c r="C27" s="263"/>
      <c r="D27" s="263"/>
      <c r="E27" s="263"/>
      <c r="F27" s="263"/>
      <c r="P27" s="158"/>
      <c r="Q27" s="159"/>
      <c r="R27" s="159"/>
      <c r="S27" s="159"/>
      <c r="T27" s="159"/>
      <c r="U27" s="160"/>
    </row>
    <row r="28" spans="2:25" x14ac:dyDescent="0.25">
      <c r="B28" s="263"/>
      <c r="C28" s="263"/>
      <c r="D28" s="263"/>
      <c r="E28" s="263"/>
      <c r="F28" s="263"/>
      <c r="P28" s="161"/>
      <c r="Q28" s="162"/>
      <c r="R28" s="162"/>
      <c r="S28" s="162"/>
      <c r="T28" s="162"/>
      <c r="U28" s="163"/>
    </row>
    <row r="29" spans="2:25" ht="15.75" x14ac:dyDescent="0.25">
      <c r="B29" s="16" t="str">
        <f>IF($Z$7=TRUE,"-",IF(OR($Z$6,$Z$8,$Z$9)=TRUE,"Vizsga/felmentés","Vizsga"))</f>
        <v>Vizsga</v>
      </c>
      <c r="C29" s="16" t="str">
        <f t="shared" ref="C29:F29" si="0">IF($Z$7=TRUE,"-",IF(OR($Z$6,$Z$8,$Z$9)=TRUE,"Vizsga/felmentés","Vizsga"))</f>
        <v>Vizsga</v>
      </c>
      <c r="D29" s="16" t="str">
        <f t="shared" si="0"/>
        <v>Vizsga</v>
      </c>
      <c r="E29" s="16" t="str">
        <f t="shared" si="0"/>
        <v>Vizsga</v>
      </c>
      <c r="F29" s="16" t="str">
        <f t="shared" si="0"/>
        <v>Vizsga</v>
      </c>
    </row>
    <row r="30" spans="2:25" ht="15.75" x14ac:dyDescent="0.25">
      <c r="B30" s="39">
        <f>IF($Z$7=TRUE,0,Kezdőlap!E38)</f>
        <v>19400</v>
      </c>
      <c r="C30" s="39">
        <f>IF($Z$7=TRUE,0,Kezdőlap!E38)</f>
        <v>19400</v>
      </c>
      <c r="D30" s="39">
        <f>IF($Z$7=TRUE,0,Kezdőlap!E38)</f>
        <v>19400</v>
      </c>
      <c r="E30" s="39">
        <f>IF($Z$7=TRUE,0,Kezdőlap!E38)</f>
        <v>19400</v>
      </c>
      <c r="F30" s="39">
        <f>IF($Z$7=TRUE,0,Kezdőlap!E38)</f>
        <v>19400</v>
      </c>
      <c r="P30" s="213" t="s">
        <v>279</v>
      </c>
      <c r="Q30" s="214"/>
      <c r="R30" s="214"/>
      <c r="S30" s="214"/>
      <c r="T30" s="214"/>
      <c r="U30" s="215"/>
    </row>
    <row r="31" spans="2:25" x14ac:dyDescent="0.25">
      <c r="P31" s="216"/>
      <c r="Q31" s="217"/>
      <c r="R31" s="217"/>
      <c r="S31" s="217"/>
      <c r="T31" s="217"/>
      <c r="U31" s="218"/>
    </row>
    <row r="32" spans="2:25" x14ac:dyDescent="0.25">
      <c r="P32" s="216"/>
      <c r="Q32" s="217"/>
      <c r="R32" s="217"/>
      <c r="S32" s="217"/>
      <c r="T32" s="217"/>
      <c r="U32" s="218"/>
    </row>
    <row r="33" spans="16:21" x14ac:dyDescent="0.25">
      <c r="P33" s="219"/>
      <c r="Q33" s="220"/>
      <c r="R33" s="220"/>
      <c r="S33" s="220"/>
      <c r="T33" s="220"/>
      <c r="U33" s="221"/>
    </row>
  </sheetData>
  <sheetProtection sheet="1" objects="1" scenarios="1" selectLockedCells="1"/>
  <mergeCells count="25">
    <mergeCell ref="P30:U33"/>
    <mergeCell ref="P19:U28"/>
    <mergeCell ref="P4:U5"/>
    <mergeCell ref="P6:U6"/>
    <mergeCell ref="P7:U7"/>
    <mergeCell ref="P8:U8"/>
    <mergeCell ref="P9:U9"/>
    <mergeCell ref="B4:I5"/>
    <mergeCell ref="B6:I6"/>
    <mergeCell ref="K4:N5"/>
    <mergeCell ref="K6:N13"/>
    <mergeCell ref="B17:F17"/>
    <mergeCell ref="J17:K17"/>
    <mergeCell ref="B18:B28"/>
    <mergeCell ref="H17:I17"/>
    <mergeCell ref="P10:U10"/>
    <mergeCell ref="P11:U12"/>
    <mergeCell ref="P13:U14"/>
    <mergeCell ref="P15:U17"/>
    <mergeCell ref="J18:K24"/>
    <mergeCell ref="C18:C28"/>
    <mergeCell ref="D18:D28"/>
    <mergeCell ref="E18:E28"/>
    <mergeCell ref="F18:F28"/>
    <mergeCell ref="H18:I24"/>
  </mergeCells>
  <conditionalFormatting sqref="B29:F29">
    <cfRule type="containsText" dxfId="46" priority="1" operator="containsText" text="Vizsga">
      <formula>NOT(ISERROR(SEARCH("Vizsga",B29)))</formula>
    </cfRule>
  </conditionalFormatting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5601" r:id="rId3" name="Check Box 1">
              <controlPr defaultSize="0" autoFill="0" autoLine="0" autoPict="0">
                <anchor moveWithCells="1">
                  <from>
                    <xdr:col>1</xdr:col>
                    <xdr:colOff>28575</xdr:colOff>
                    <xdr:row>6</xdr:row>
                    <xdr:rowOff>76200</xdr:rowOff>
                  </from>
                  <to>
                    <xdr:col>6</xdr:col>
                    <xdr:colOff>238125</xdr:colOff>
                    <xdr:row>7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602" r:id="rId4" name="Check Box 2">
              <controlPr defaultSize="0" autoFill="0" autoLine="0" autoPict="0">
                <anchor moveWithCells="1">
                  <from>
                    <xdr:col>1</xdr:col>
                    <xdr:colOff>28575</xdr:colOff>
                    <xdr:row>7</xdr:row>
                    <xdr:rowOff>180975</xdr:rowOff>
                  </from>
                  <to>
                    <xdr:col>6</xdr:col>
                    <xdr:colOff>238125</xdr:colOff>
                    <xdr:row>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603" r:id="rId5" name="Check Box 3">
              <controlPr defaultSize="0" autoFill="0" autoLine="0" autoPict="0">
                <anchor moveWithCells="1">
                  <from>
                    <xdr:col>1</xdr:col>
                    <xdr:colOff>28575</xdr:colOff>
                    <xdr:row>9</xdr:row>
                    <xdr:rowOff>66675</xdr:rowOff>
                  </from>
                  <to>
                    <xdr:col>6</xdr:col>
                    <xdr:colOff>238125</xdr:colOff>
                    <xdr:row>10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604" r:id="rId6" name="Check Box 4">
              <controlPr defaultSize="0" autoFill="0" autoLine="0" autoPict="0">
                <anchor moveWithCells="1">
                  <from>
                    <xdr:col>1</xdr:col>
                    <xdr:colOff>28575</xdr:colOff>
                    <xdr:row>10</xdr:row>
                    <xdr:rowOff>104775</xdr:rowOff>
                  </from>
                  <to>
                    <xdr:col>8</xdr:col>
                    <xdr:colOff>495300</xdr:colOff>
                    <xdr:row>12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A30620-366F-4C7D-B8A5-E557BE8C3A33}">
  <sheetPr codeName="Munka18">
    <tabColor rgb="FF00B0F0"/>
  </sheetPr>
  <dimension ref="A1:AB33"/>
  <sheetViews>
    <sheetView showGridLines="0" showRowColHeaders="0" workbookViewId="0">
      <selection activeCell="O37" sqref="O37"/>
    </sheetView>
  </sheetViews>
  <sheetFormatPr defaultRowHeight="15" x14ac:dyDescent="0.25"/>
  <cols>
    <col min="2" max="2" width="10.28515625" bestFit="1" customWidth="1"/>
    <col min="3" max="3" width="10" customWidth="1"/>
    <col min="4" max="7" width="10.28515625" bestFit="1" customWidth="1"/>
    <col min="8" max="8" width="10" customWidth="1"/>
    <col min="9" max="9" width="10.28515625" bestFit="1" customWidth="1"/>
    <col min="10" max="10" width="10.42578125" customWidth="1"/>
    <col min="11" max="11" width="10.28515625" bestFit="1" customWidth="1"/>
    <col min="12" max="12" width="10.28515625" customWidth="1"/>
    <col min="13" max="13" width="10.28515625" bestFit="1" customWidth="1"/>
    <col min="17" max="17" width="12.5703125" customWidth="1"/>
    <col min="18" max="18" width="7.5703125" customWidth="1"/>
    <col min="28" max="28" width="9.140625" style="66" hidden="1" customWidth="1"/>
  </cols>
  <sheetData>
    <row r="1" spans="1:28" x14ac:dyDescent="0.25">
      <c r="A1" s="48"/>
      <c r="B1" s="48"/>
      <c r="C1" s="48"/>
    </row>
    <row r="2" spans="1:28" x14ac:dyDescent="0.25">
      <c r="A2" s="48"/>
      <c r="B2" s="48"/>
      <c r="C2" s="48"/>
    </row>
    <row r="4" spans="1:28" x14ac:dyDescent="0.25">
      <c r="B4" s="133" t="s">
        <v>26</v>
      </c>
      <c r="C4" s="133"/>
      <c r="D4" s="133"/>
      <c r="E4" s="133"/>
      <c r="F4" s="133"/>
      <c r="G4" s="133"/>
      <c r="H4" s="133"/>
      <c r="I4" s="133"/>
      <c r="J4" s="133"/>
      <c r="K4" s="133"/>
      <c r="L4" s="133"/>
      <c r="N4" s="126" t="s">
        <v>35</v>
      </c>
      <c r="O4" s="126"/>
      <c r="P4" s="126"/>
      <c r="Q4" s="126"/>
      <c r="S4" s="126" t="s">
        <v>65</v>
      </c>
      <c r="T4" s="126"/>
      <c r="U4" s="126"/>
      <c r="V4" s="126"/>
      <c r="W4" s="126"/>
      <c r="X4" s="126"/>
      <c r="Y4" s="126"/>
      <c r="Z4" s="126"/>
      <c r="AA4" s="126"/>
    </row>
    <row r="5" spans="1:28" x14ac:dyDescent="0.25">
      <c r="B5" s="133"/>
      <c r="C5" s="133"/>
      <c r="D5" s="133"/>
      <c r="E5" s="133"/>
      <c r="F5" s="133"/>
      <c r="G5" s="133"/>
      <c r="H5" s="133"/>
      <c r="I5" s="133"/>
      <c r="J5" s="133"/>
      <c r="K5" s="133"/>
      <c r="L5" s="133"/>
      <c r="N5" s="126"/>
      <c r="O5" s="126"/>
      <c r="P5" s="126"/>
      <c r="Q5" s="126"/>
      <c r="S5" s="126"/>
      <c r="T5" s="126"/>
      <c r="U5" s="126"/>
      <c r="V5" s="126"/>
      <c r="W5" s="126"/>
      <c r="X5" s="126"/>
      <c r="Y5" s="126"/>
      <c r="Z5" s="126"/>
      <c r="AA5" s="126"/>
    </row>
    <row r="6" spans="1:28" x14ac:dyDescent="0.25">
      <c r="B6" s="295" t="s">
        <v>131</v>
      </c>
      <c r="C6" s="295"/>
      <c r="D6" s="295"/>
      <c r="E6" s="295"/>
      <c r="F6" s="295"/>
      <c r="G6" s="295"/>
      <c r="H6" s="295"/>
      <c r="I6" s="295"/>
      <c r="J6" s="295"/>
      <c r="K6" s="295"/>
      <c r="L6" s="295"/>
      <c r="N6" s="232" t="str">
        <f>IF(AB7=TRUE,"",IF(AB6=TRUE,"6 havi géphajón vagy egyéb önálló gépüzemű úszólétesítményen szerzett gépüzemi gyakorlat","Géphajón vagy egyéb önálló gépüzemű úszólétesítményen szerzett legalább 12 havi gépüzemi vagy matróz-gépkezelő gyakorlat."))</f>
        <v>Géphajón vagy egyéb önálló gépüzemű úszólétesítményen szerzett legalább 12 havi gépüzemi vagy matróz-gépkezelő gyakorlat.</v>
      </c>
      <c r="O6" s="233"/>
      <c r="P6" s="233"/>
      <c r="Q6" s="234"/>
      <c r="S6" s="191" t="s">
        <v>141</v>
      </c>
      <c r="T6" s="191"/>
      <c r="U6" s="191"/>
      <c r="V6" s="191"/>
      <c r="W6" s="191"/>
      <c r="X6" s="191"/>
      <c r="Y6" s="191"/>
      <c r="Z6" s="191"/>
      <c r="AA6" s="191"/>
      <c r="AB6" s="66" t="b">
        <v>0</v>
      </c>
    </row>
    <row r="7" spans="1:28" x14ac:dyDescent="0.25">
      <c r="B7" s="13"/>
      <c r="C7" s="14"/>
      <c r="D7" s="14"/>
      <c r="E7" s="14"/>
      <c r="F7" s="14"/>
      <c r="G7" s="14"/>
      <c r="H7" s="14"/>
      <c r="I7" s="14"/>
      <c r="J7" s="14"/>
      <c r="K7" s="14"/>
      <c r="L7" s="15"/>
      <c r="N7" s="235"/>
      <c r="O7" s="236"/>
      <c r="P7" s="236"/>
      <c r="Q7" s="237"/>
      <c r="S7" s="191" t="str">
        <f>IF($AB$7=TRUE,"Írásos kérelem","Írásos vizsgajelentkezési/felmentési kérelem")</f>
        <v>Írásos vizsgajelentkezési/felmentési kérelem</v>
      </c>
      <c r="T7" s="191"/>
      <c r="U7" s="191"/>
      <c r="V7" s="191"/>
      <c r="W7" s="191"/>
      <c r="X7" s="191"/>
      <c r="Y7" s="191"/>
      <c r="Z7" s="191"/>
      <c r="AA7" s="191"/>
      <c r="AB7" s="66" t="b">
        <v>0</v>
      </c>
    </row>
    <row r="8" spans="1:28" x14ac:dyDescent="0.25">
      <c r="B8" s="6"/>
      <c r="C8" s="7"/>
      <c r="D8" s="7"/>
      <c r="E8" s="7"/>
      <c r="F8" s="7"/>
      <c r="G8" s="7"/>
      <c r="H8" s="7"/>
      <c r="I8" s="7"/>
      <c r="J8" s="7"/>
      <c r="K8" s="7"/>
      <c r="L8" s="8"/>
      <c r="N8" s="235"/>
      <c r="O8" s="236"/>
      <c r="P8" s="236"/>
      <c r="Q8" s="237"/>
      <c r="S8" s="191" t="s">
        <v>57</v>
      </c>
      <c r="T8" s="191"/>
      <c r="U8" s="191"/>
      <c r="V8" s="191"/>
      <c r="W8" s="191"/>
      <c r="X8" s="191"/>
      <c r="Y8" s="191"/>
      <c r="Z8" s="191"/>
      <c r="AA8" s="191"/>
      <c r="AB8" s="66" t="b">
        <v>0</v>
      </c>
    </row>
    <row r="9" spans="1:28" x14ac:dyDescent="0.25">
      <c r="B9" s="6"/>
      <c r="C9" s="7"/>
      <c r="D9" s="7"/>
      <c r="E9" s="7"/>
      <c r="F9" s="7"/>
      <c r="G9" s="7"/>
      <c r="H9" s="7"/>
      <c r="I9" s="7"/>
      <c r="J9" s="7"/>
      <c r="K9" s="7"/>
      <c r="L9" s="8"/>
      <c r="N9" s="235"/>
      <c r="O9" s="236"/>
      <c r="P9" s="236"/>
      <c r="Q9" s="237"/>
      <c r="S9" s="191" t="s">
        <v>150</v>
      </c>
      <c r="T9" s="191"/>
      <c r="U9" s="191"/>
      <c r="V9" s="191"/>
      <c r="W9" s="191"/>
      <c r="X9" s="191"/>
      <c r="Y9" s="191"/>
      <c r="Z9" s="191"/>
      <c r="AA9" s="191"/>
      <c r="AB9" s="66" t="b">
        <v>0</v>
      </c>
    </row>
    <row r="10" spans="1:28" x14ac:dyDescent="0.25">
      <c r="B10" s="6"/>
      <c r="C10" s="7"/>
      <c r="D10" s="7"/>
      <c r="E10" s="7"/>
      <c r="F10" s="7"/>
      <c r="G10" s="7"/>
      <c r="H10" s="7"/>
      <c r="I10" s="7"/>
      <c r="J10" s="7"/>
      <c r="K10" s="7"/>
      <c r="L10" s="8"/>
      <c r="N10" s="235"/>
      <c r="O10" s="236"/>
      <c r="P10" s="236"/>
      <c r="Q10" s="237"/>
      <c r="S10" s="257" t="str">
        <f>IF(AB7=TRUE,"Érvényes tengerész géptiszti vagy belvízi gépkezelői vagy belvízi géptiszti képesítő bizonyítvány bemutatása",IF(AB9=TRUE,"Gépkezelői képesítő bizonyítvány bemutatása",""))</f>
        <v/>
      </c>
      <c r="T10" s="257"/>
      <c r="U10" s="257"/>
      <c r="V10" s="257"/>
      <c r="W10" s="257"/>
      <c r="X10" s="257"/>
      <c r="Y10" s="257"/>
      <c r="Z10" s="257"/>
      <c r="AA10" s="257"/>
    </row>
    <row r="11" spans="1:28" x14ac:dyDescent="0.25">
      <c r="B11" s="6"/>
      <c r="C11" s="7"/>
      <c r="D11" s="7"/>
      <c r="E11" s="7"/>
      <c r="F11" s="7"/>
      <c r="G11" s="7"/>
      <c r="H11" s="7"/>
      <c r="I11" s="7"/>
      <c r="J11" s="7"/>
      <c r="K11" s="7"/>
      <c r="L11" s="8"/>
      <c r="N11" s="235"/>
      <c r="O11" s="236"/>
      <c r="P11" s="236"/>
      <c r="Q11" s="237"/>
      <c r="S11" s="257"/>
      <c r="T11" s="257"/>
      <c r="U11" s="257"/>
      <c r="V11" s="257"/>
      <c r="W11" s="257"/>
      <c r="X11" s="257"/>
      <c r="Y11" s="257"/>
      <c r="Z11" s="257"/>
      <c r="AA11" s="257"/>
    </row>
    <row r="12" spans="1:28" x14ac:dyDescent="0.25">
      <c r="B12" s="6"/>
      <c r="C12" s="7"/>
      <c r="D12" s="7"/>
      <c r="E12" s="7"/>
      <c r="F12" s="7"/>
      <c r="G12" s="7"/>
      <c r="H12" s="7"/>
      <c r="I12" s="7"/>
      <c r="J12" s="7"/>
      <c r="K12" s="7"/>
      <c r="L12" s="8"/>
      <c r="N12" s="235"/>
      <c r="O12" s="236"/>
      <c r="P12" s="236"/>
      <c r="Q12" s="237"/>
      <c r="S12" s="257" t="str">
        <f>IF(OR(AB6,AB8)=TRUE,"Felmentési kérelemhez: képesítő okmány, vizsgajegyzőkönyv, leckekönyv vagy tanterv","")</f>
        <v/>
      </c>
      <c r="T12" s="257"/>
      <c r="U12" s="257"/>
      <c r="V12" s="257"/>
      <c r="W12" s="257"/>
      <c r="X12" s="257"/>
      <c r="Y12" s="257"/>
      <c r="Z12" s="257"/>
      <c r="AA12" s="257"/>
    </row>
    <row r="13" spans="1:28" x14ac:dyDescent="0.25">
      <c r="B13" s="9"/>
      <c r="C13" s="10"/>
      <c r="D13" s="10"/>
      <c r="E13" s="10"/>
      <c r="F13" s="10"/>
      <c r="G13" s="10"/>
      <c r="H13" s="10"/>
      <c r="I13" s="10"/>
      <c r="J13" s="10"/>
      <c r="K13" s="10"/>
      <c r="L13" s="11"/>
      <c r="N13" s="238"/>
      <c r="O13" s="239"/>
      <c r="P13" s="239"/>
      <c r="Q13" s="240"/>
      <c r="S13" s="257"/>
      <c r="T13" s="257"/>
      <c r="U13" s="257"/>
      <c r="V13" s="257"/>
      <c r="W13" s="257"/>
      <c r="X13" s="257"/>
      <c r="Y13" s="257"/>
      <c r="Z13" s="257"/>
      <c r="AA13" s="257"/>
    </row>
    <row r="14" spans="1:28" x14ac:dyDescent="0.25">
      <c r="S14" s="257" t="str">
        <f>IF(AB6=TRUE,"Hajózási vagy gépészeti szakképzésben szerzett képesítő bizonyítvány vagy szervezett gépkezelői képzés elvégzésének igazolása","")</f>
        <v/>
      </c>
      <c r="T14" s="257"/>
      <c r="U14" s="257"/>
      <c r="V14" s="257"/>
      <c r="W14" s="257"/>
      <c r="X14" s="257"/>
      <c r="Y14" s="257"/>
      <c r="Z14" s="257"/>
      <c r="AA14" s="257"/>
    </row>
    <row r="15" spans="1:28" ht="15.75" x14ac:dyDescent="0.25">
      <c r="B15" s="265" t="s">
        <v>37</v>
      </c>
      <c r="C15" s="266"/>
      <c r="D15" s="266"/>
      <c r="E15" s="266"/>
      <c r="F15" s="266"/>
      <c r="G15" s="266"/>
      <c r="H15" s="266"/>
      <c r="I15" s="266"/>
      <c r="J15" s="266"/>
      <c r="K15" s="266"/>
      <c r="L15" s="266"/>
      <c r="M15" s="267"/>
      <c r="O15" s="126" t="s">
        <v>43</v>
      </c>
      <c r="P15" s="126"/>
      <c r="Q15" s="52" t="s">
        <v>78</v>
      </c>
      <c r="S15" s="257"/>
      <c r="T15" s="257"/>
      <c r="U15" s="257"/>
      <c r="V15" s="257"/>
      <c r="W15" s="257"/>
      <c r="X15" s="257"/>
      <c r="Y15" s="257"/>
      <c r="Z15" s="257"/>
      <c r="AA15" s="257"/>
    </row>
    <row r="16" spans="1:28" ht="15.75" customHeight="1" x14ac:dyDescent="0.25">
      <c r="B16" s="263" t="s">
        <v>132</v>
      </c>
      <c r="C16" s="263" t="s">
        <v>133</v>
      </c>
      <c r="D16" s="263" t="s">
        <v>134</v>
      </c>
      <c r="E16" s="263" t="s">
        <v>135</v>
      </c>
      <c r="F16" s="263" t="s">
        <v>136</v>
      </c>
      <c r="G16" s="263" t="s">
        <v>137</v>
      </c>
      <c r="H16" s="263" t="s">
        <v>138</v>
      </c>
      <c r="I16" s="263" t="s">
        <v>139</v>
      </c>
      <c r="J16" s="263" t="s">
        <v>140</v>
      </c>
      <c r="K16" s="263" t="s">
        <v>145</v>
      </c>
      <c r="L16" s="263" t="s">
        <v>146</v>
      </c>
      <c r="M16" s="263" t="s">
        <v>148</v>
      </c>
      <c r="O16" s="288">
        <f>SUM(B28:M28)</f>
        <v>232800</v>
      </c>
      <c r="P16" s="288"/>
      <c r="Q16" s="131">
        <f>Kezdőlap!E43</f>
        <v>9700</v>
      </c>
    </row>
    <row r="17" spans="2:28" x14ac:dyDescent="0.25">
      <c r="B17" s="263"/>
      <c r="C17" s="263"/>
      <c r="D17" s="263"/>
      <c r="E17" s="263"/>
      <c r="F17" s="263"/>
      <c r="G17" s="263"/>
      <c r="H17" s="263"/>
      <c r="I17" s="263"/>
      <c r="J17" s="263"/>
      <c r="K17" s="263"/>
      <c r="L17" s="263"/>
      <c r="M17" s="263"/>
      <c r="O17" s="288"/>
      <c r="P17" s="288"/>
      <c r="Q17" s="131"/>
      <c r="S17" s="155" t="s">
        <v>152</v>
      </c>
      <c r="T17" s="156"/>
      <c r="U17" s="156"/>
      <c r="V17" s="156"/>
      <c r="W17" s="156"/>
      <c r="X17" s="156"/>
      <c r="Y17" s="156"/>
      <c r="Z17" s="156"/>
      <c r="AA17" s="157"/>
    </row>
    <row r="18" spans="2:28" x14ac:dyDescent="0.25">
      <c r="B18" s="263"/>
      <c r="C18" s="263"/>
      <c r="D18" s="263"/>
      <c r="E18" s="263"/>
      <c r="F18" s="263"/>
      <c r="G18" s="263"/>
      <c r="H18" s="263"/>
      <c r="I18" s="263"/>
      <c r="J18" s="263"/>
      <c r="K18" s="263"/>
      <c r="L18" s="263"/>
      <c r="M18" s="263"/>
      <c r="O18" s="288"/>
      <c r="P18" s="288"/>
      <c r="Q18" s="131"/>
      <c r="S18" s="158"/>
      <c r="T18" s="159"/>
      <c r="U18" s="159"/>
      <c r="V18" s="159"/>
      <c r="W18" s="159"/>
      <c r="X18" s="159"/>
      <c r="Y18" s="159"/>
      <c r="Z18" s="159"/>
      <c r="AA18" s="160"/>
    </row>
    <row r="19" spans="2:28" x14ac:dyDescent="0.25">
      <c r="B19" s="263"/>
      <c r="C19" s="263"/>
      <c r="D19" s="263"/>
      <c r="E19" s="263"/>
      <c r="F19" s="263"/>
      <c r="G19" s="263"/>
      <c r="H19" s="263"/>
      <c r="I19" s="263"/>
      <c r="J19" s="263"/>
      <c r="K19" s="263"/>
      <c r="L19" s="263"/>
      <c r="M19" s="263"/>
      <c r="O19" s="288"/>
      <c r="P19" s="288"/>
      <c r="Q19" s="131"/>
      <c r="S19" s="158"/>
      <c r="T19" s="159"/>
      <c r="U19" s="159"/>
      <c r="V19" s="159"/>
      <c r="W19" s="159"/>
      <c r="X19" s="159"/>
      <c r="Y19" s="159"/>
      <c r="Z19" s="159"/>
      <c r="AA19" s="160"/>
    </row>
    <row r="20" spans="2:28" x14ac:dyDescent="0.25">
      <c r="B20" s="263"/>
      <c r="C20" s="263"/>
      <c r="D20" s="263"/>
      <c r="E20" s="263"/>
      <c r="F20" s="263"/>
      <c r="G20" s="263"/>
      <c r="H20" s="263"/>
      <c r="I20" s="263"/>
      <c r="J20" s="263"/>
      <c r="K20" s="263"/>
      <c r="L20" s="263"/>
      <c r="M20" s="263"/>
      <c r="O20" s="288"/>
      <c r="P20" s="288"/>
      <c r="Q20" s="131"/>
      <c r="S20" s="158"/>
      <c r="T20" s="159"/>
      <c r="U20" s="159"/>
      <c r="V20" s="159"/>
      <c r="W20" s="159"/>
      <c r="X20" s="159"/>
      <c r="Y20" s="159"/>
      <c r="Z20" s="159"/>
      <c r="AA20" s="160"/>
    </row>
    <row r="21" spans="2:28" x14ac:dyDescent="0.25">
      <c r="B21" s="263"/>
      <c r="C21" s="263"/>
      <c r="D21" s="263"/>
      <c r="E21" s="263"/>
      <c r="F21" s="263"/>
      <c r="G21" s="263"/>
      <c r="H21" s="263"/>
      <c r="I21" s="263"/>
      <c r="J21" s="263"/>
      <c r="K21" s="263"/>
      <c r="L21" s="263"/>
      <c r="M21" s="263"/>
      <c r="O21" s="288"/>
      <c r="P21" s="288"/>
      <c r="Q21" s="131"/>
      <c r="S21" s="158"/>
      <c r="T21" s="159"/>
      <c r="U21" s="159"/>
      <c r="V21" s="159"/>
      <c r="W21" s="159"/>
      <c r="X21" s="159"/>
      <c r="Y21" s="159"/>
      <c r="Z21" s="159"/>
      <c r="AA21" s="160"/>
    </row>
    <row r="22" spans="2:28" x14ac:dyDescent="0.25">
      <c r="B22" s="263"/>
      <c r="C22" s="263"/>
      <c r="D22" s="263"/>
      <c r="E22" s="263"/>
      <c r="F22" s="263"/>
      <c r="G22" s="263"/>
      <c r="H22" s="263"/>
      <c r="I22" s="263"/>
      <c r="J22" s="263"/>
      <c r="K22" s="263"/>
      <c r="L22" s="263"/>
      <c r="M22" s="263"/>
      <c r="S22" s="158"/>
      <c r="T22" s="159"/>
      <c r="U22" s="159"/>
      <c r="V22" s="159"/>
      <c r="W22" s="159"/>
      <c r="X22" s="159"/>
      <c r="Y22" s="159"/>
      <c r="Z22" s="159"/>
      <c r="AA22" s="160"/>
    </row>
    <row r="23" spans="2:28" x14ac:dyDescent="0.25">
      <c r="B23" s="263"/>
      <c r="C23" s="263"/>
      <c r="D23" s="263"/>
      <c r="E23" s="263"/>
      <c r="F23" s="263"/>
      <c r="G23" s="263"/>
      <c r="H23" s="263"/>
      <c r="I23" s="263"/>
      <c r="J23" s="263"/>
      <c r="K23" s="263"/>
      <c r="L23" s="263"/>
      <c r="M23" s="263"/>
      <c r="S23" s="158"/>
      <c r="T23" s="159"/>
      <c r="U23" s="159"/>
      <c r="V23" s="159"/>
      <c r="W23" s="159"/>
      <c r="X23" s="159"/>
      <c r="Y23" s="159"/>
      <c r="Z23" s="159"/>
      <c r="AA23" s="160"/>
    </row>
    <row r="24" spans="2:28" x14ac:dyDescent="0.25">
      <c r="B24" s="263"/>
      <c r="C24" s="263"/>
      <c r="D24" s="263"/>
      <c r="E24" s="263"/>
      <c r="F24" s="263"/>
      <c r="G24" s="263"/>
      <c r="H24" s="263"/>
      <c r="I24" s="263"/>
      <c r="J24" s="263"/>
      <c r="K24" s="263"/>
      <c r="L24" s="263"/>
      <c r="M24" s="263"/>
      <c r="S24" s="158"/>
      <c r="T24" s="159"/>
      <c r="U24" s="159"/>
      <c r="V24" s="159"/>
      <c r="W24" s="159"/>
      <c r="X24" s="159"/>
      <c r="Y24" s="159"/>
      <c r="Z24" s="159"/>
      <c r="AA24" s="160"/>
    </row>
    <row r="25" spans="2:28" x14ac:dyDescent="0.25">
      <c r="B25" s="263"/>
      <c r="C25" s="263"/>
      <c r="D25" s="263"/>
      <c r="E25" s="263"/>
      <c r="F25" s="263"/>
      <c r="G25" s="263"/>
      <c r="H25" s="263"/>
      <c r="I25" s="263"/>
      <c r="J25" s="263"/>
      <c r="K25" s="263"/>
      <c r="L25" s="263"/>
      <c r="M25" s="263"/>
      <c r="S25" s="158"/>
      <c r="T25" s="159"/>
      <c r="U25" s="159"/>
      <c r="V25" s="159"/>
      <c r="W25" s="159"/>
      <c r="X25" s="159"/>
      <c r="Y25" s="159"/>
      <c r="Z25" s="159"/>
      <c r="AA25" s="160"/>
    </row>
    <row r="26" spans="2:28" x14ac:dyDescent="0.25">
      <c r="B26" s="263"/>
      <c r="C26" s="263"/>
      <c r="D26" s="263"/>
      <c r="E26" s="263"/>
      <c r="F26" s="263"/>
      <c r="G26" s="263"/>
      <c r="H26" s="263"/>
      <c r="I26" s="263"/>
      <c r="J26" s="263"/>
      <c r="K26" s="263"/>
      <c r="L26" s="263"/>
      <c r="M26" s="263"/>
      <c r="S26" s="158"/>
      <c r="T26" s="159"/>
      <c r="U26" s="159"/>
      <c r="V26" s="159"/>
      <c r="W26" s="159"/>
      <c r="X26" s="159"/>
      <c r="Y26" s="159"/>
      <c r="Z26" s="159"/>
      <c r="AA26" s="160"/>
    </row>
    <row r="27" spans="2:28" ht="15.75" x14ac:dyDescent="0.25">
      <c r="B27" s="43" t="str">
        <f>IF(B28=0,"felmentés",IF(OR($AB$6,$AB$8)=TRUE,"Vizsga/felmentés","Vizsga"))</f>
        <v>Vizsga</v>
      </c>
      <c r="C27" s="43" t="str">
        <f t="shared" ref="C27:M27" si="0">IF(C28=0,"felmentés",IF(OR($AB$6,$AB$8)=TRUE,"Vizsga/felmentés","Vizsga"))</f>
        <v>Vizsga</v>
      </c>
      <c r="D27" s="43" t="str">
        <f t="shared" si="0"/>
        <v>Vizsga</v>
      </c>
      <c r="E27" s="43" t="str">
        <f t="shared" si="0"/>
        <v>Vizsga</v>
      </c>
      <c r="F27" s="43" t="str">
        <f t="shared" si="0"/>
        <v>Vizsga</v>
      </c>
      <c r="G27" s="43" t="str">
        <f t="shared" si="0"/>
        <v>Vizsga</v>
      </c>
      <c r="H27" s="43" t="str">
        <f t="shared" si="0"/>
        <v>Vizsga</v>
      </c>
      <c r="I27" s="43" t="str">
        <f t="shared" si="0"/>
        <v>Vizsga</v>
      </c>
      <c r="J27" s="43" t="str">
        <f t="shared" si="0"/>
        <v>Vizsga</v>
      </c>
      <c r="K27" s="43" t="str">
        <f t="shared" si="0"/>
        <v>Vizsga</v>
      </c>
      <c r="L27" s="43" t="str">
        <f t="shared" si="0"/>
        <v>Vizsga</v>
      </c>
      <c r="M27" s="43" t="str">
        <f t="shared" si="0"/>
        <v>Vizsga</v>
      </c>
      <c r="S27" s="158"/>
      <c r="T27" s="159"/>
      <c r="U27" s="159"/>
      <c r="V27" s="159"/>
      <c r="W27" s="159"/>
      <c r="X27" s="159"/>
      <c r="Y27" s="159"/>
      <c r="Z27" s="159"/>
      <c r="AA27" s="160"/>
    </row>
    <row r="28" spans="2:28" ht="15.75" x14ac:dyDescent="0.25">
      <c r="B28" s="39">
        <f>IF(OR($AB$9,$AB$7)=TRUE,0,Kezdőlap!E38)</f>
        <v>19400</v>
      </c>
      <c r="C28" s="39">
        <f>IF(OR($AB$9,$AB$7)=TRUE,0,Kezdőlap!E38)</f>
        <v>19400</v>
      </c>
      <c r="D28" s="39">
        <f>IF(OR($AB$9,$AB$7)=TRUE,0,Kezdőlap!E38)</f>
        <v>19400</v>
      </c>
      <c r="E28" s="39">
        <f>IF(OR($AB$9,$AB$7)=TRUE,0,Kezdőlap!E38)</f>
        <v>19400</v>
      </c>
      <c r="F28" s="39">
        <f>IF(OR($AB$9,$AB$7)=TRUE,0,Kezdőlap!E38)</f>
        <v>19400</v>
      </c>
      <c r="G28" s="39">
        <f>IF(OR($AB$9,$AB$7)=TRUE,0,Kezdőlap!E38)</f>
        <v>19400</v>
      </c>
      <c r="H28" s="39">
        <f>IF(OR($AB$9,$AB$7)=TRUE,0,Kezdőlap!E38)</f>
        <v>19400</v>
      </c>
      <c r="I28" s="39">
        <f>IF(OR($AB$9,$AB$7)=TRUE,0,Kezdőlap!E38)</f>
        <v>19400</v>
      </c>
      <c r="J28" s="39">
        <f>IF(OR($AB$9,$AB$7)=TRUE,0,Kezdőlap!E38)</f>
        <v>19400</v>
      </c>
      <c r="K28" s="39">
        <f>IF($AB$7=TRUE,0,Kezdőlap!E38)</f>
        <v>19400</v>
      </c>
      <c r="L28" s="39">
        <f>IF($AB$7=TRUE,0,Kezdőlap!E38)</f>
        <v>19400</v>
      </c>
      <c r="M28" s="39">
        <f>IF($AB$7=TRUE,0,Kezdőlap!E38)</f>
        <v>19400</v>
      </c>
      <c r="S28" s="161"/>
      <c r="T28" s="162"/>
      <c r="U28" s="162"/>
      <c r="V28" s="162"/>
      <c r="W28" s="162"/>
      <c r="X28" s="162"/>
      <c r="Y28" s="162"/>
      <c r="Z28" s="162"/>
      <c r="AA28" s="163"/>
    </row>
    <row r="29" spans="2:28" x14ac:dyDescent="0.25">
      <c r="AB29" s="67"/>
    </row>
    <row r="30" spans="2:28" ht="15" customHeight="1" x14ac:dyDescent="0.25">
      <c r="S30" s="296" t="s">
        <v>281</v>
      </c>
      <c r="T30" s="297"/>
      <c r="U30" s="297"/>
      <c r="V30" s="297"/>
      <c r="W30" s="297"/>
      <c r="X30" s="297"/>
      <c r="Y30" s="297"/>
      <c r="Z30" s="297"/>
      <c r="AA30" s="298"/>
      <c r="AB30" s="68"/>
    </row>
    <row r="31" spans="2:28" x14ac:dyDescent="0.25">
      <c r="S31" s="299"/>
      <c r="T31" s="300"/>
      <c r="U31" s="300"/>
      <c r="V31" s="300"/>
      <c r="W31" s="300"/>
      <c r="X31" s="300"/>
      <c r="Y31" s="300"/>
      <c r="Z31" s="300"/>
      <c r="AA31" s="301"/>
      <c r="AB31" s="68"/>
    </row>
    <row r="32" spans="2:28" ht="19.5" customHeight="1" x14ac:dyDescent="0.25">
      <c r="S32" s="302"/>
      <c r="T32" s="303"/>
      <c r="U32" s="303"/>
      <c r="V32" s="303"/>
      <c r="W32" s="303"/>
      <c r="X32" s="303"/>
      <c r="Y32" s="303"/>
      <c r="Z32" s="303"/>
      <c r="AA32" s="304"/>
      <c r="AB32" s="68"/>
    </row>
    <row r="33" spans="28:28" x14ac:dyDescent="0.25">
      <c r="AB33" s="67"/>
    </row>
  </sheetData>
  <sheetProtection sheet="1" objects="1" scenarios="1" selectLockedCells="1"/>
  <protectedRanges>
    <protectedRange password="EFFA" sqref="B16:C16 J16" name="Tartomány1_2"/>
  </protectedRanges>
  <mergeCells count="30">
    <mergeCell ref="S30:AA32"/>
    <mergeCell ref="L16:L26"/>
    <mergeCell ref="M16:M26"/>
    <mergeCell ref="O16:P21"/>
    <mergeCell ref="Q16:Q21"/>
    <mergeCell ref="S17:AA28"/>
    <mergeCell ref="G16:G26"/>
    <mergeCell ref="H16:H26"/>
    <mergeCell ref="I16:I26"/>
    <mergeCell ref="J16:J26"/>
    <mergeCell ref="K16:K26"/>
    <mergeCell ref="B16:B26"/>
    <mergeCell ref="C16:C26"/>
    <mergeCell ref="D16:D26"/>
    <mergeCell ref="E16:E26"/>
    <mergeCell ref="F16:F26"/>
    <mergeCell ref="B4:L5"/>
    <mergeCell ref="B6:L6"/>
    <mergeCell ref="B15:M15"/>
    <mergeCell ref="N4:Q5"/>
    <mergeCell ref="N6:Q13"/>
    <mergeCell ref="O15:P15"/>
    <mergeCell ref="S14:AA15"/>
    <mergeCell ref="S4:AA5"/>
    <mergeCell ref="S6:AA6"/>
    <mergeCell ref="S7:AA7"/>
    <mergeCell ref="S8:AA8"/>
    <mergeCell ref="S9:AA9"/>
    <mergeCell ref="S10:AA11"/>
    <mergeCell ref="S12:AA13"/>
  </mergeCells>
  <conditionalFormatting sqref="B27:M27">
    <cfRule type="containsText" dxfId="45" priority="1" operator="containsText" text="Vizsga">
      <formula>NOT(ISERROR(SEARCH("Vizsga",B27)))</formula>
    </cfRule>
  </conditionalFormatting>
  <pageMargins left="0.7" right="0.7" top="0.75" bottom="0.75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6625" r:id="rId4" name="Check Box 1">
              <controlPr defaultSize="0" autoFill="0" autoLine="0" autoPict="0">
                <anchor moveWithCells="1">
                  <from>
                    <xdr:col>1</xdr:col>
                    <xdr:colOff>19050</xdr:colOff>
                    <xdr:row>6</xdr:row>
                    <xdr:rowOff>95250</xdr:rowOff>
                  </from>
                  <to>
                    <xdr:col>10</xdr:col>
                    <xdr:colOff>476250</xdr:colOff>
                    <xdr:row>7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26" r:id="rId5" name="Check Box 2">
              <controlPr defaultSize="0" autoFill="0" autoLine="0" autoPict="0">
                <anchor moveWithCells="1">
                  <from>
                    <xdr:col>1</xdr:col>
                    <xdr:colOff>19050</xdr:colOff>
                    <xdr:row>9</xdr:row>
                    <xdr:rowOff>95250</xdr:rowOff>
                  </from>
                  <to>
                    <xdr:col>9</xdr:col>
                    <xdr:colOff>590550</xdr:colOff>
                    <xdr:row>10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27" r:id="rId6" name="Check Box 3">
              <controlPr defaultSize="0" autoFill="0" autoLine="0" autoPict="0">
                <anchor moveWithCells="1">
                  <from>
                    <xdr:col>1</xdr:col>
                    <xdr:colOff>19050</xdr:colOff>
                    <xdr:row>8</xdr:row>
                    <xdr:rowOff>9525</xdr:rowOff>
                  </from>
                  <to>
                    <xdr:col>9</xdr:col>
                    <xdr:colOff>590550</xdr:colOff>
                    <xdr:row>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28" r:id="rId7" name="Check Box 4">
              <controlPr defaultSize="0" autoFill="0" autoLine="0" autoPict="0">
                <anchor moveWithCells="1">
                  <from>
                    <xdr:col>1</xdr:col>
                    <xdr:colOff>19050</xdr:colOff>
                    <xdr:row>11</xdr:row>
                    <xdr:rowOff>0</xdr:rowOff>
                  </from>
                  <to>
                    <xdr:col>9</xdr:col>
                    <xdr:colOff>590550</xdr:colOff>
                    <xdr:row>12</xdr:row>
                    <xdr:rowOff>28575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DE2EE9-AE3B-451D-8322-E271CEBA69B4}">
  <sheetPr codeName="Munka3">
    <tabColor rgb="FF00B0F0"/>
  </sheetPr>
  <dimension ref="A3:AB32"/>
  <sheetViews>
    <sheetView showGridLines="0" showRowColHeaders="0" zoomScale="85" zoomScaleNormal="85" workbookViewId="0">
      <selection activeCell="Z24" sqref="Z24"/>
    </sheetView>
  </sheetViews>
  <sheetFormatPr defaultColWidth="9.140625" defaultRowHeight="15" x14ac:dyDescent="0.25"/>
  <cols>
    <col min="1" max="1" width="9.140625" style="21"/>
    <col min="2" max="3" width="17.85546875" style="21" customWidth="1"/>
    <col min="4" max="4" width="17.5703125" style="21" customWidth="1"/>
    <col min="5" max="5" width="11.42578125" style="21" customWidth="1"/>
    <col min="6" max="6" width="11" style="21" customWidth="1"/>
    <col min="7" max="7" width="11" style="21" bestFit="1" customWidth="1"/>
    <col min="8" max="9" width="12.42578125" style="21" bestFit="1" customWidth="1"/>
    <col min="10" max="10" width="14.140625" style="21" bestFit="1" customWidth="1"/>
    <col min="11" max="15" width="9.140625" style="21"/>
    <col min="16" max="16" width="6" style="21" customWidth="1"/>
    <col min="17" max="27" width="9.140625" style="21"/>
    <col min="28" max="28" width="9.140625" style="64" hidden="1" customWidth="1"/>
    <col min="29" max="16384" width="9.140625" style="21"/>
  </cols>
  <sheetData>
    <row r="3" spans="1:28" x14ac:dyDescent="0.25">
      <c r="A3" s="4"/>
      <c r="B3" s="4"/>
      <c r="C3" s="4"/>
    </row>
    <row r="4" spans="1:28" x14ac:dyDescent="0.25">
      <c r="B4" s="133" t="s">
        <v>32</v>
      </c>
      <c r="C4" s="133"/>
      <c r="D4" s="133"/>
      <c r="E4" s="133"/>
      <c r="F4" s="133"/>
      <c r="G4" s="133"/>
      <c r="H4" s="133"/>
      <c r="I4" s="133"/>
      <c r="J4" s="133"/>
      <c r="K4" s="133"/>
    </row>
    <row r="5" spans="1:28" ht="15.75" customHeight="1" x14ac:dyDescent="0.25">
      <c r="A5" s="3"/>
      <c r="B5" s="133"/>
      <c r="C5" s="133"/>
      <c r="D5" s="133"/>
      <c r="E5" s="133"/>
      <c r="F5" s="133"/>
      <c r="G5" s="133"/>
      <c r="H5" s="133"/>
      <c r="I5" s="133"/>
      <c r="J5" s="133"/>
      <c r="K5" s="133"/>
      <c r="L5" s="3"/>
      <c r="M5" s="132" t="s">
        <v>35</v>
      </c>
      <c r="N5" s="132"/>
      <c r="O5" s="132"/>
      <c r="Q5" s="147" t="str">
        <f>IF(Q6="Írásos vizsgajelentkezési kérelem az eHivatal rendszeren keresztül","Egyéb vizsgajelentkezési feltételek","Okmánykiállítási feltételek")</f>
        <v>Okmánykiállítási feltételek</v>
      </c>
      <c r="R5" s="147"/>
      <c r="S5" s="147"/>
      <c r="T5" s="147"/>
      <c r="U5" s="147"/>
      <c r="V5" s="147"/>
      <c r="W5" s="147"/>
      <c r="X5" s="147"/>
      <c r="Y5" s="22"/>
    </row>
    <row r="6" spans="1:28" ht="15.75" x14ac:dyDescent="0.25">
      <c r="A6" s="2"/>
      <c r="B6" s="144" t="s">
        <v>33</v>
      </c>
      <c r="C6" s="145"/>
      <c r="D6" s="145"/>
      <c r="E6" s="145"/>
      <c r="F6" s="145"/>
      <c r="G6" s="145"/>
      <c r="H6" s="145"/>
      <c r="I6" s="145"/>
      <c r="J6" s="145"/>
      <c r="K6" s="146"/>
      <c r="L6" s="2"/>
      <c r="M6" s="132"/>
      <c r="N6" s="132"/>
      <c r="O6" s="132"/>
      <c r="Q6" s="127" t="str">
        <f>IF(AND(H24&gt;0,J24&gt;0),"Írásos vizsgajelentkezési kérelem az eHivatal rendszeren keresztül",IF(J24&gt;0,"Okmányigénylés és fotó benyújtása",""))</f>
        <v>Okmányigénylés és fotó benyújtása</v>
      </c>
      <c r="R6" s="127"/>
      <c r="S6" s="127"/>
      <c r="T6" s="127"/>
      <c r="U6" s="127"/>
      <c r="V6" s="127"/>
      <c r="W6" s="127"/>
      <c r="X6" s="127"/>
    </row>
    <row r="7" spans="1:28" ht="15" customHeight="1" x14ac:dyDescent="0.25">
      <c r="B7" s="23"/>
      <c r="C7" s="24"/>
      <c r="D7" s="24"/>
      <c r="E7" s="24"/>
      <c r="F7" s="24"/>
      <c r="G7" s="24"/>
      <c r="H7" s="24"/>
      <c r="I7" s="24"/>
      <c r="J7" s="24"/>
      <c r="K7" s="25"/>
      <c r="M7" s="134" t="s">
        <v>36</v>
      </c>
      <c r="N7" s="135"/>
      <c r="O7" s="136"/>
      <c r="Q7" s="127" t="str">
        <f>IF(OR(B32&gt;0,C32&gt;0,D32&gt;0,D32),"Elméleti vizsgához: betöltött 17. életév"," ")</f>
        <v xml:space="preserve"> </v>
      </c>
      <c r="R7" s="127"/>
      <c r="S7" s="127"/>
      <c r="T7" s="127"/>
      <c r="U7" s="127"/>
      <c r="V7" s="127"/>
      <c r="W7" s="127"/>
      <c r="X7" s="127"/>
      <c r="Y7" s="22"/>
      <c r="AB7" s="65" t="b">
        <v>0</v>
      </c>
    </row>
    <row r="8" spans="1:28" ht="15" customHeight="1" x14ac:dyDescent="0.25">
      <c r="B8" s="26"/>
      <c r="C8" s="27"/>
      <c r="D8" s="27"/>
      <c r="E8" s="27"/>
      <c r="F8" s="27"/>
      <c r="G8" s="27"/>
      <c r="H8" s="27"/>
      <c r="I8" s="27"/>
      <c r="J8" s="27"/>
      <c r="K8" s="28"/>
      <c r="M8" s="137"/>
      <c r="N8" s="138"/>
      <c r="O8" s="139"/>
      <c r="Q8" s="127" t="str">
        <f>IF(OR(E32=Kezdőlap!E40,F32=Kezdőlap!E40),"Gyakorlati vizsgához: betöltött 18. életév"," ")</f>
        <v xml:space="preserve"> </v>
      </c>
      <c r="R8" s="127"/>
      <c r="S8" s="127"/>
      <c r="T8" s="127"/>
      <c r="U8" s="127"/>
      <c r="V8" s="127"/>
      <c r="W8" s="127"/>
      <c r="X8" s="127"/>
      <c r="Y8" s="22"/>
      <c r="AB8" s="65" t="b">
        <v>0</v>
      </c>
    </row>
    <row r="9" spans="1:28" ht="15" customHeight="1" x14ac:dyDescent="0.25">
      <c r="B9" s="26"/>
      <c r="C9" s="27"/>
      <c r="D9" s="27"/>
      <c r="E9" s="27"/>
      <c r="F9" s="27"/>
      <c r="G9" s="27"/>
      <c r="H9" s="27"/>
      <c r="I9" s="27"/>
      <c r="J9" s="27"/>
      <c r="K9" s="28"/>
      <c r="M9" s="137"/>
      <c r="N9" s="138"/>
      <c r="O9" s="139"/>
      <c r="Q9" s="128" t="str">
        <f>IF(OR(AB7,AB8)=TRUE,"Érvényes, kedvtelési célú kishajó vezetésére szóló egészségi alkalmasság igazolása"," ")</f>
        <v xml:space="preserve"> </v>
      </c>
      <c r="R9" s="128"/>
      <c r="S9" s="128"/>
      <c r="T9" s="128"/>
      <c r="U9" s="128"/>
      <c r="V9" s="128"/>
      <c r="W9" s="128"/>
      <c r="X9" s="128"/>
      <c r="AB9" s="65"/>
    </row>
    <row r="10" spans="1:28" ht="15" customHeight="1" x14ac:dyDescent="0.25">
      <c r="A10" s="2"/>
      <c r="B10" s="143" t="s">
        <v>34</v>
      </c>
      <c r="C10" s="143"/>
      <c r="D10" s="143"/>
      <c r="E10" s="143"/>
      <c r="F10" s="143"/>
      <c r="G10" s="143"/>
      <c r="H10" s="143"/>
      <c r="I10" s="143"/>
      <c r="J10" s="143"/>
      <c r="K10" s="143"/>
      <c r="L10" s="2"/>
      <c r="M10" s="137"/>
      <c r="N10" s="138"/>
      <c r="O10" s="139"/>
      <c r="Q10" s="128"/>
      <c r="R10" s="128"/>
      <c r="S10" s="128"/>
      <c r="T10" s="128"/>
      <c r="U10" s="128"/>
      <c r="V10" s="128"/>
      <c r="W10" s="128"/>
      <c r="X10" s="128"/>
      <c r="AB10" s="65"/>
    </row>
    <row r="11" spans="1:28" ht="15" customHeight="1" x14ac:dyDescent="0.25">
      <c r="B11" s="26"/>
      <c r="C11" s="27"/>
      <c r="D11" s="27"/>
      <c r="E11" s="27"/>
      <c r="F11" s="27"/>
      <c r="G11" s="27"/>
      <c r="H11" s="27"/>
      <c r="I11" s="27"/>
      <c r="J11" s="27"/>
      <c r="K11" s="28"/>
      <c r="M11" s="137"/>
      <c r="N11" s="138"/>
      <c r="O11" s="139"/>
      <c r="Q11" s="127" t="str">
        <f>IF(H24&gt;0,"A vizsgatárgyakat tartalmazó képzésen való részvétel igazolása"," ")</f>
        <v xml:space="preserve"> </v>
      </c>
      <c r="R11" s="127"/>
      <c r="S11" s="127"/>
      <c r="T11" s="127"/>
      <c r="U11" s="127"/>
      <c r="V11" s="127"/>
      <c r="W11" s="127"/>
      <c r="X11" s="127"/>
      <c r="AB11" s="65" t="b">
        <v>0</v>
      </c>
    </row>
    <row r="12" spans="1:28" ht="15" customHeight="1" x14ac:dyDescent="0.25">
      <c r="B12" s="26"/>
      <c r="C12" s="27"/>
      <c r="D12" s="27"/>
      <c r="E12" s="27"/>
      <c r="F12" s="27"/>
      <c r="G12" s="27"/>
      <c r="H12" s="27"/>
      <c r="I12" s="27"/>
      <c r="J12" s="27"/>
      <c r="K12" s="28"/>
      <c r="M12" s="137"/>
      <c r="N12" s="138"/>
      <c r="O12" s="139"/>
      <c r="Q12" s="127" t="str">
        <f>IF(OR(AB7,AB8)=TRUE,"Díj befizetésének igazolása"," ")</f>
        <v xml:space="preserve"> </v>
      </c>
      <c r="R12" s="127"/>
      <c r="S12" s="127"/>
      <c r="T12" s="127"/>
      <c r="U12" s="127"/>
      <c r="V12" s="127"/>
      <c r="W12" s="127"/>
      <c r="X12" s="127"/>
      <c r="AB12" s="65" t="b">
        <v>0</v>
      </c>
    </row>
    <row r="13" spans="1:28" ht="15" customHeight="1" x14ac:dyDescent="0.25">
      <c r="B13" s="26"/>
      <c r="C13" s="27"/>
      <c r="D13" s="27"/>
      <c r="E13" s="27"/>
      <c r="F13" s="27"/>
      <c r="G13" s="27"/>
      <c r="H13" s="27"/>
      <c r="I13" s="27"/>
      <c r="J13" s="27"/>
      <c r="K13" s="28"/>
      <c r="M13" s="137"/>
      <c r="N13" s="138"/>
      <c r="O13" s="139"/>
      <c r="Q13" s="127" t="str">
        <f>IF(OR(OR(AB7,AB8)=FALSE,OR(AB11,AB12,AB13,AB15,AB16:AB18)=TRUE)," ","Nyilatkozat úszástudásról")</f>
        <v xml:space="preserve"> </v>
      </c>
      <c r="R13" s="127"/>
      <c r="S13" s="127"/>
      <c r="T13" s="127"/>
      <c r="U13" s="127"/>
      <c r="V13" s="127"/>
      <c r="W13" s="127"/>
      <c r="X13" s="127"/>
      <c r="AB13" s="65" t="b">
        <v>0</v>
      </c>
    </row>
    <row r="14" spans="1:28" ht="15" customHeight="1" x14ac:dyDescent="0.25">
      <c r="B14" s="26"/>
      <c r="C14" s="27"/>
      <c r="D14" s="27"/>
      <c r="E14" s="27"/>
      <c r="F14" s="27"/>
      <c r="G14" s="27"/>
      <c r="H14" s="27"/>
      <c r="I14" s="27"/>
      <c r="J14" s="27"/>
      <c r="K14" s="28"/>
      <c r="M14" s="140"/>
      <c r="N14" s="141"/>
      <c r="O14" s="142"/>
      <c r="Q14" s="127" t="str">
        <f>IF(OR(AB7,AB8)=TRUE,IF(OR(AB11:AB16)=TRUE,"","Legalább alapfokú iskolai végzettség igazolása")," ")</f>
        <v xml:space="preserve"> </v>
      </c>
      <c r="R14" s="127"/>
      <c r="S14" s="127"/>
      <c r="T14" s="127"/>
      <c r="U14" s="127"/>
      <c r="V14" s="127"/>
      <c r="W14" s="127"/>
      <c r="X14" s="127"/>
      <c r="AB14" s="65"/>
    </row>
    <row r="15" spans="1:28" ht="15" customHeight="1" x14ac:dyDescent="0.25">
      <c r="B15" s="26"/>
      <c r="C15" s="27"/>
      <c r="D15" s="27"/>
      <c r="E15" s="27"/>
      <c r="F15" s="27"/>
      <c r="G15" s="27"/>
      <c r="H15" s="27"/>
      <c r="I15" s="27"/>
      <c r="J15" s="27"/>
      <c r="K15" s="28"/>
      <c r="Q15" s="128" t="str">
        <f>IF(OR(AB19,AB20)=TRUE,"Felmentési kérelemhez: képesítő okmány, vizsgajegyzőkönyv, leckekönyv vagy tanterv","")</f>
        <v/>
      </c>
      <c r="R15" s="128"/>
      <c r="S15" s="128"/>
      <c r="T15" s="128"/>
      <c r="U15" s="128"/>
      <c r="V15" s="128"/>
      <c r="W15" s="128"/>
      <c r="X15" s="128"/>
      <c r="AB15" s="65" t="b">
        <v>0</v>
      </c>
    </row>
    <row r="16" spans="1:28" ht="15" customHeight="1" x14ac:dyDescent="0.25">
      <c r="B16" s="26"/>
      <c r="C16" s="27"/>
      <c r="D16" s="27"/>
      <c r="E16" s="27"/>
      <c r="F16" s="27"/>
      <c r="G16" s="27"/>
      <c r="H16" s="27"/>
      <c r="I16" s="27"/>
      <c r="J16" s="27"/>
      <c r="K16" s="28"/>
      <c r="Q16" s="128"/>
      <c r="R16" s="128"/>
      <c r="S16" s="128"/>
      <c r="T16" s="128"/>
      <c r="U16" s="128"/>
      <c r="V16" s="128"/>
      <c r="W16" s="128"/>
      <c r="X16" s="128"/>
      <c r="AB16" s="65" t="b">
        <v>0</v>
      </c>
    </row>
    <row r="17" spans="1:28" ht="15" customHeight="1" x14ac:dyDescent="0.25">
      <c r="B17" s="26"/>
      <c r="C17" s="27"/>
      <c r="D17" s="27"/>
      <c r="E17" s="27"/>
      <c r="F17" s="27"/>
      <c r="G17" s="27"/>
      <c r="H17" s="27"/>
      <c r="I17" s="27"/>
      <c r="J17" s="27"/>
      <c r="K17" s="28"/>
      <c r="AB17" s="65" t="b">
        <v>0</v>
      </c>
    </row>
    <row r="18" spans="1:28" ht="15" customHeight="1" x14ac:dyDescent="0.25">
      <c r="B18" s="26"/>
      <c r="C18" s="27"/>
      <c r="D18" s="27"/>
      <c r="E18" s="27"/>
      <c r="F18" s="27"/>
      <c r="G18" s="27"/>
      <c r="H18" s="27"/>
      <c r="I18" s="27"/>
      <c r="J18" s="27"/>
      <c r="K18" s="28"/>
      <c r="AB18" s="65" t="b">
        <v>0</v>
      </c>
    </row>
    <row r="19" spans="1:28" ht="15" customHeight="1" x14ac:dyDescent="0.25">
      <c r="B19" s="26"/>
      <c r="C19" s="27"/>
      <c r="D19" s="27"/>
      <c r="E19" s="27"/>
      <c r="F19" s="27"/>
      <c r="G19" s="27"/>
      <c r="H19" s="27"/>
      <c r="I19" s="27"/>
      <c r="J19" s="27"/>
      <c r="K19" s="28"/>
      <c r="Q19" s="128" t="str">
        <f>IF(AB20=TRUE,"Hajózási szakképzésben szerzett képesítő bizonyítványként azt a képesítő okmányt lehet elfogadni, amelyet olyan oktatási intézmény adott ki, amelynek tanterve a hajózási hatóság által jóváhagyott szakmai oktatási programot tartalmazza","")</f>
        <v/>
      </c>
      <c r="R19" s="128"/>
      <c r="S19" s="128"/>
      <c r="T19" s="128"/>
      <c r="U19" s="128"/>
      <c r="V19" s="128"/>
      <c r="W19" s="128"/>
      <c r="X19" s="128"/>
      <c r="AB19" s="65" t="b">
        <v>0</v>
      </c>
    </row>
    <row r="20" spans="1:28" ht="15" customHeight="1" x14ac:dyDescent="0.25">
      <c r="B20" s="26"/>
      <c r="C20" s="27"/>
      <c r="D20" s="27"/>
      <c r="E20" s="27"/>
      <c r="F20" s="27"/>
      <c r="G20" s="27"/>
      <c r="H20" s="27"/>
      <c r="I20" s="27"/>
      <c r="J20" s="27"/>
      <c r="K20" s="28"/>
      <c r="Q20" s="128"/>
      <c r="R20" s="128"/>
      <c r="S20" s="128"/>
      <c r="T20" s="128"/>
      <c r="U20" s="128"/>
      <c r="V20" s="128"/>
      <c r="W20" s="128"/>
      <c r="X20" s="128"/>
      <c r="AB20" s="65" t="b">
        <v>0</v>
      </c>
    </row>
    <row r="21" spans="1:28" ht="15" customHeight="1" x14ac:dyDescent="0.25">
      <c r="B21" s="29"/>
      <c r="C21" s="30"/>
      <c r="D21" s="30"/>
      <c r="E21" s="30"/>
      <c r="F21" s="30"/>
      <c r="G21" s="30"/>
      <c r="H21" s="30"/>
      <c r="I21" s="30"/>
      <c r="J21" s="30"/>
      <c r="K21" s="31"/>
      <c r="Q21" s="128"/>
      <c r="R21" s="128"/>
      <c r="S21" s="128"/>
      <c r="T21" s="128"/>
      <c r="U21" s="128"/>
      <c r="V21" s="128"/>
      <c r="W21" s="128"/>
      <c r="X21" s="128"/>
    </row>
    <row r="22" spans="1:28" x14ac:dyDescent="0.25">
      <c r="Q22" s="128"/>
      <c r="R22" s="128"/>
      <c r="S22" s="128"/>
      <c r="T22" s="128"/>
      <c r="U22" s="128"/>
      <c r="V22" s="128"/>
      <c r="W22" s="128"/>
      <c r="X22" s="128"/>
    </row>
    <row r="23" spans="1:28" ht="15.75" x14ac:dyDescent="0.25">
      <c r="A23" s="1"/>
      <c r="B23" s="125" t="s">
        <v>37</v>
      </c>
      <c r="C23" s="125"/>
      <c r="D23" s="125"/>
      <c r="E23" s="125"/>
      <c r="F23" s="125"/>
      <c r="G23" s="1"/>
      <c r="H23" s="126" t="s">
        <v>43</v>
      </c>
      <c r="I23" s="126"/>
      <c r="J23" s="52" t="s">
        <v>78</v>
      </c>
      <c r="Q23" s="128"/>
      <c r="R23" s="128"/>
      <c r="S23" s="128"/>
      <c r="T23" s="128"/>
      <c r="U23" s="128"/>
      <c r="V23" s="128"/>
      <c r="W23" s="128"/>
      <c r="X23" s="128"/>
    </row>
    <row r="24" spans="1:28" ht="17.25" customHeight="1" x14ac:dyDescent="0.25">
      <c r="A24" s="1"/>
      <c r="B24" s="129" t="s">
        <v>38</v>
      </c>
      <c r="C24" s="129" t="s">
        <v>39</v>
      </c>
      <c r="D24" s="129" t="s">
        <v>40</v>
      </c>
      <c r="E24" s="129" t="s">
        <v>41</v>
      </c>
      <c r="F24" s="129" t="s">
        <v>42</v>
      </c>
      <c r="G24" s="1"/>
      <c r="H24" s="130">
        <f>SUM(B32:F32)</f>
        <v>0</v>
      </c>
      <c r="I24" s="130"/>
      <c r="J24" s="131">
        <f>Kezdőlap!E42</f>
        <v>17900</v>
      </c>
      <c r="Q24" s="128"/>
      <c r="R24" s="128"/>
      <c r="S24" s="128"/>
      <c r="T24" s="128"/>
      <c r="U24" s="128"/>
      <c r="V24" s="128"/>
      <c r="W24" s="128"/>
      <c r="X24" s="128"/>
    </row>
    <row r="25" spans="1:28" ht="15.75" customHeight="1" x14ac:dyDescent="0.25">
      <c r="A25" s="1"/>
      <c r="B25" s="129"/>
      <c r="C25" s="129"/>
      <c r="D25" s="129"/>
      <c r="E25" s="129"/>
      <c r="F25" s="129"/>
      <c r="G25" s="1"/>
      <c r="H25" s="130"/>
      <c r="I25" s="130"/>
      <c r="J25" s="131"/>
      <c r="Q25" s="128"/>
      <c r="R25" s="128"/>
      <c r="S25" s="128"/>
      <c r="T25" s="128"/>
      <c r="U25" s="128"/>
      <c r="V25" s="128"/>
      <c r="W25" s="128"/>
      <c r="X25" s="128"/>
    </row>
    <row r="26" spans="1:28" ht="15.75" customHeight="1" x14ac:dyDescent="0.25">
      <c r="A26" s="1"/>
      <c r="B26" s="129"/>
      <c r="C26" s="129"/>
      <c r="D26" s="129"/>
      <c r="E26" s="129"/>
      <c r="F26" s="129"/>
      <c r="G26" s="1"/>
      <c r="H26" s="130"/>
      <c r="I26" s="130"/>
      <c r="J26" s="131"/>
    </row>
    <row r="27" spans="1:28" ht="15" customHeight="1" x14ac:dyDescent="0.25">
      <c r="B27" s="129"/>
      <c r="C27" s="129"/>
      <c r="D27" s="129"/>
      <c r="E27" s="129"/>
      <c r="F27" s="129"/>
      <c r="H27" s="130"/>
      <c r="I27" s="130"/>
      <c r="J27" s="131"/>
    </row>
    <row r="28" spans="1:28" ht="15" customHeight="1" x14ac:dyDescent="0.25">
      <c r="B28" s="129"/>
      <c r="C28" s="129"/>
      <c r="D28" s="129"/>
      <c r="E28" s="129"/>
      <c r="F28" s="129"/>
      <c r="H28" s="130"/>
      <c r="I28" s="130"/>
      <c r="J28" s="131"/>
    </row>
    <row r="29" spans="1:28" ht="15" customHeight="1" x14ac:dyDescent="0.25">
      <c r="B29" s="129"/>
      <c r="C29" s="129"/>
      <c r="D29" s="129"/>
      <c r="E29" s="129"/>
      <c r="F29" s="129"/>
      <c r="H29" s="130"/>
      <c r="I29" s="130"/>
      <c r="J29" s="131"/>
    </row>
    <row r="30" spans="1:28" x14ac:dyDescent="0.25">
      <c r="B30" s="129"/>
      <c r="C30" s="129"/>
      <c r="D30" s="129"/>
      <c r="E30" s="129"/>
      <c r="F30" s="129"/>
    </row>
    <row r="31" spans="1:28" ht="15.75" x14ac:dyDescent="0.25">
      <c r="B31" s="16" t="str">
        <f>IF(AND(AB7=FALSE,AB8=FALSE),"-",IF(OR(AB11,AB12,AB13,AB15,AB16,AB17,AB18)=TRUE,"Felmentés",IF(OR(AB19:AB20)=TRUE,"Vizsga/felmentés","Vizsga")))</f>
        <v>-</v>
      </c>
      <c r="C31" s="16" t="str">
        <f>IF(AB7=FALSE,"-",IF(OR(AB12,AB13,AB15,AB16,AB17,AB18)=TRUE,"Felmentés",IF(OR(AB19:AB20)=TRUE,"Vizsga/felmentés","Vizsga")))</f>
        <v>-</v>
      </c>
      <c r="D31" s="16" t="str">
        <f>IF(AB8=FALSE,"-",IF(OR(AB11,AB12,AB16,AB17)=TRUE,"Felmentés",IF(OR(AB19,AB20)=TRUE,"Vizsga/felmentés","Vizsga")))</f>
        <v>-</v>
      </c>
      <c r="E31" s="16" t="str">
        <f>IF(AB7=FALSE,"-",IF(OR(AB13,AB15,AB17,AB18)=TRUE,"Felmentés","Vizsga"))</f>
        <v>-</v>
      </c>
      <c r="F31" s="16" t="str">
        <f>IF(AB8=FALSE,"-",IF(OR(AB11,AB12,AB15,AB16,AB17)=TRUE,"Felmentés","Vizsga"))</f>
        <v>-</v>
      </c>
    </row>
    <row r="32" spans="1:28" ht="15.75" x14ac:dyDescent="0.25">
      <c r="B32" s="32">
        <f>IF(AND(OR(AB7,AB8)=TRUE,AB12=FALSE,AB13=FALSE,AB11=FALSE,AB15=FALSE,AB16=FALSE,AB17=FALSE,AB18=FALSE),Kezdőlap!E35,0)</f>
        <v>0</v>
      </c>
      <c r="C32" s="32">
        <f>IF(AND(AB7=TRUE,AB12=FALSE,AB13=FALSE,AB15=FALSE,AB16=FALSE,AB17=FALSE,AB18=FALSE),Kezdőlap!E35,0)</f>
        <v>0</v>
      </c>
      <c r="D32" s="32">
        <f>IF(AND(AB8=TRUE,AB12=FALSE,AB11=FALSE,AB16=FALSE,AB17=FALSE),Kezdőlap!E35,0)</f>
        <v>0</v>
      </c>
      <c r="E32" s="32">
        <f>IF(AND(AB7=TRUE,AB13=FALSE,AB15=FALSE,AB17=FALSE,AB18=FALSE),Kezdőlap!E40,0)</f>
        <v>0</v>
      </c>
      <c r="F32" s="32">
        <f>IF(AND(AB8=TRUE,AB12=FALSE,AB11=FALSE,AB16=FALSE,AB17=FALSE),Kezdőlap!E40,0)</f>
        <v>0</v>
      </c>
    </row>
  </sheetData>
  <sheetProtection sheet="1" selectLockedCells="1"/>
  <mergeCells count="25">
    <mergeCell ref="Q11:X11"/>
    <mergeCell ref="Q12:X12"/>
    <mergeCell ref="Q13:X13"/>
    <mergeCell ref="M5:O6"/>
    <mergeCell ref="B4:K5"/>
    <mergeCell ref="M7:O14"/>
    <mergeCell ref="B10:K10"/>
    <mergeCell ref="B6:K6"/>
    <mergeCell ref="Q5:X5"/>
    <mergeCell ref="Q6:X6"/>
    <mergeCell ref="Q7:X7"/>
    <mergeCell ref="Q8:X8"/>
    <mergeCell ref="Q9:X10"/>
    <mergeCell ref="B23:F23"/>
    <mergeCell ref="H23:I23"/>
    <mergeCell ref="Q14:X14"/>
    <mergeCell ref="Q15:X16"/>
    <mergeCell ref="B24:B30"/>
    <mergeCell ref="C24:C30"/>
    <mergeCell ref="D24:D30"/>
    <mergeCell ref="E24:E30"/>
    <mergeCell ref="F24:F30"/>
    <mergeCell ref="Q19:X25"/>
    <mergeCell ref="H24:I29"/>
    <mergeCell ref="J24:J29"/>
  </mergeCells>
  <conditionalFormatting sqref="B31:F31">
    <cfRule type="containsText" dxfId="59" priority="1" operator="containsText" text="Vizsga">
      <formula>NOT(ISERROR(SEARCH("Vizsga",B31)))</formula>
    </cfRule>
  </conditionalFormatting>
  <pageMargins left="0.7" right="0.7" top="0.75" bottom="0.75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Check Box 1">
              <controlPr defaultSize="0" autoFill="0" autoLine="0" autoPict="0" altText="Kisgéphajó">
                <anchor moveWithCells="1">
                  <from>
                    <xdr:col>1</xdr:col>
                    <xdr:colOff>9525</xdr:colOff>
                    <xdr:row>7</xdr:row>
                    <xdr:rowOff>76200</xdr:rowOff>
                  </from>
                  <to>
                    <xdr:col>2</xdr:col>
                    <xdr:colOff>1085850</xdr:colOff>
                    <xdr:row>8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5" name="Check Box 2">
              <controlPr defaultSize="0" autoFill="0" autoLine="0" autoPict="0" altText="Vitorlás">
                <anchor moveWithCells="1">
                  <from>
                    <xdr:col>1</xdr:col>
                    <xdr:colOff>9525</xdr:colOff>
                    <xdr:row>5</xdr:row>
                    <xdr:rowOff>171450</xdr:rowOff>
                  </from>
                  <to>
                    <xdr:col>3</xdr:col>
                    <xdr:colOff>47625</xdr:colOff>
                    <xdr:row>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r:id="rId6" name="Check Box 3">
              <controlPr defaultSize="0" autoFill="0" autoLine="0" autoPict="0">
                <anchor moveWithCells="1">
                  <from>
                    <xdr:col>1</xdr:col>
                    <xdr:colOff>9525</xdr:colOff>
                    <xdr:row>11</xdr:row>
                    <xdr:rowOff>38100</xdr:rowOff>
                  </from>
                  <to>
                    <xdr:col>5</xdr:col>
                    <xdr:colOff>285750</xdr:colOff>
                    <xdr:row>12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2" r:id="rId7" name="Check Box 4">
              <controlPr defaultSize="0" autoFill="0" autoLine="0" autoPict="0">
                <anchor moveWithCells="1">
                  <from>
                    <xdr:col>1</xdr:col>
                    <xdr:colOff>9525</xdr:colOff>
                    <xdr:row>12</xdr:row>
                    <xdr:rowOff>76200</xdr:rowOff>
                  </from>
                  <to>
                    <xdr:col>4</xdr:col>
                    <xdr:colOff>276225</xdr:colOff>
                    <xdr:row>13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3" r:id="rId8" name="Check Box 5">
              <controlPr defaultSize="0" autoFill="0" autoLine="0" autoPict="0">
                <anchor moveWithCells="1">
                  <from>
                    <xdr:col>1</xdr:col>
                    <xdr:colOff>9525</xdr:colOff>
                    <xdr:row>10</xdr:row>
                    <xdr:rowOff>9525</xdr:rowOff>
                  </from>
                  <to>
                    <xdr:col>5</xdr:col>
                    <xdr:colOff>285750</xdr:colOff>
                    <xdr:row>11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4" r:id="rId9" name="Check Box 6">
              <controlPr defaultSize="0" autoFill="0" autoLine="0" autoPict="0">
                <anchor moveWithCells="1">
                  <from>
                    <xdr:col>1</xdr:col>
                    <xdr:colOff>9525</xdr:colOff>
                    <xdr:row>13</xdr:row>
                    <xdr:rowOff>123825</xdr:rowOff>
                  </from>
                  <to>
                    <xdr:col>6</xdr:col>
                    <xdr:colOff>323850</xdr:colOff>
                    <xdr:row>14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5" r:id="rId10" name="Check Box 7">
              <controlPr defaultSize="0" autoFill="0" autoLine="0" autoPict="0">
                <anchor moveWithCells="1">
                  <from>
                    <xdr:col>1</xdr:col>
                    <xdr:colOff>9525</xdr:colOff>
                    <xdr:row>14</xdr:row>
                    <xdr:rowOff>171450</xdr:rowOff>
                  </from>
                  <to>
                    <xdr:col>5</xdr:col>
                    <xdr:colOff>295275</xdr:colOff>
                    <xdr:row>15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6" r:id="rId11" name="Check Box 8">
              <controlPr defaultSize="0" autoFill="0" autoLine="0" autoPict="0">
                <anchor moveWithCells="1">
                  <from>
                    <xdr:col>1</xdr:col>
                    <xdr:colOff>9525</xdr:colOff>
                    <xdr:row>16</xdr:row>
                    <xdr:rowOff>19050</xdr:rowOff>
                  </from>
                  <to>
                    <xdr:col>5</xdr:col>
                    <xdr:colOff>295275</xdr:colOff>
                    <xdr:row>17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7" r:id="rId12" name="Check Box 9">
              <controlPr defaultSize="0" autoFill="0" autoLine="0" autoPict="0">
                <anchor moveWithCells="1">
                  <from>
                    <xdr:col>1</xdr:col>
                    <xdr:colOff>9525</xdr:colOff>
                    <xdr:row>17</xdr:row>
                    <xdr:rowOff>66675</xdr:rowOff>
                  </from>
                  <to>
                    <xdr:col>5</xdr:col>
                    <xdr:colOff>295275</xdr:colOff>
                    <xdr:row>18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8" r:id="rId13" name="Check Box 10">
              <controlPr defaultSize="0" autoFill="0" autoLine="0" autoPict="0">
                <anchor moveWithCells="1">
                  <from>
                    <xdr:col>1</xdr:col>
                    <xdr:colOff>9525</xdr:colOff>
                    <xdr:row>18</xdr:row>
                    <xdr:rowOff>28575</xdr:rowOff>
                  </from>
                  <to>
                    <xdr:col>8</xdr:col>
                    <xdr:colOff>666750</xdr:colOff>
                    <xdr:row>19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9" r:id="rId14" name="Check Box 11">
              <controlPr defaultSize="0" autoFill="0" autoLine="0" autoPict="0">
                <anchor moveWithCells="1">
                  <from>
                    <xdr:col>1</xdr:col>
                    <xdr:colOff>9525</xdr:colOff>
                    <xdr:row>19</xdr:row>
                    <xdr:rowOff>85725</xdr:rowOff>
                  </from>
                  <to>
                    <xdr:col>3</xdr:col>
                    <xdr:colOff>762000</xdr:colOff>
                    <xdr:row>20</xdr:row>
                    <xdr:rowOff>180975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ACAEC1-8FD9-4764-8F4C-95734F679007}">
  <sheetPr codeName="Munka19">
    <tabColor rgb="FFFFC000"/>
  </sheetPr>
  <dimension ref="A1:O14"/>
  <sheetViews>
    <sheetView showGridLines="0" showRowColHeaders="0" workbookViewId="0"/>
  </sheetViews>
  <sheetFormatPr defaultRowHeight="15" x14ac:dyDescent="0.25"/>
  <cols>
    <col min="5" max="5" width="14.42578125" bestFit="1" customWidth="1"/>
  </cols>
  <sheetData>
    <row r="1" spans="1:15" x14ac:dyDescent="0.25">
      <c r="A1" s="48"/>
      <c r="B1" s="48"/>
      <c r="C1" s="48"/>
    </row>
    <row r="2" spans="1:15" x14ac:dyDescent="0.25">
      <c r="A2" s="48"/>
      <c r="B2" s="48"/>
      <c r="C2" s="48"/>
    </row>
    <row r="4" spans="1:15" ht="15" customHeight="1" x14ac:dyDescent="0.25">
      <c r="B4" s="248" t="s">
        <v>12</v>
      </c>
      <c r="C4" s="249"/>
      <c r="D4" s="249"/>
      <c r="E4" s="249"/>
      <c r="F4" s="249"/>
      <c r="G4" s="249"/>
      <c r="H4" s="250"/>
      <c r="J4" s="164" t="s">
        <v>254</v>
      </c>
      <c r="K4" s="165"/>
      <c r="L4" s="165"/>
      <c r="M4" s="165"/>
      <c r="N4" s="165"/>
      <c r="O4" s="166"/>
    </row>
    <row r="5" spans="1:15" ht="15" customHeight="1" x14ac:dyDescent="0.25">
      <c r="B5" s="251"/>
      <c r="C5" s="252"/>
      <c r="D5" s="252"/>
      <c r="E5" s="252"/>
      <c r="F5" s="252"/>
      <c r="G5" s="252"/>
      <c r="H5" s="253"/>
      <c r="J5" s="170"/>
      <c r="K5" s="171"/>
      <c r="L5" s="171"/>
      <c r="M5" s="171"/>
      <c r="N5" s="171"/>
      <c r="O5" s="172"/>
    </row>
    <row r="6" spans="1:15" ht="15" customHeight="1" x14ac:dyDescent="0.25">
      <c r="J6" s="257" t="s">
        <v>54</v>
      </c>
      <c r="K6" s="257"/>
      <c r="L6" s="257"/>
      <c r="M6" s="257"/>
      <c r="N6" s="257"/>
      <c r="O6" s="257"/>
    </row>
    <row r="7" spans="1:15" ht="15" customHeight="1" x14ac:dyDescent="0.25">
      <c r="J7" s="257"/>
      <c r="K7" s="257"/>
      <c r="L7" s="257"/>
      <c r="M7" s="257"/>
      <c r="N7" s="257"/>
      <c r="O7" s="257"/>
    </row>
    <row r="8" spans="1:15" ht="23.25" x14ac:dyDescent="0.25">
      <c r="B8" s="126" t="s">
        <v>59</v>
      </c>
      <c r="C8" s="126"/>
      <c r="D8" s="126"/>
      <c r="E8" s="56">
        <f>Kezdőlap!E43</f>
        <v>9700</v>
      </c>
      <c r="J8" s="191" t="s">
        <v>288</v>
      </c>
      <c r="K8" s="191"/>
      <c r="L8" s="191"/>
      <c r="M8" s="191"/>
      <c r="N8" s="191"/>
      <c r="O8" s="191"/>
    </row>
    <row r="9" spans="1:15" x14ac:dyDescent="0.25">
      <c r="J9" s="191" t="s">
        <v>57</v>
      </c>
      <c r="K9" s="191"/>
      <c r="L9" s="191"/>
      <c r="M9" s="191"/>
      <c r="N9" s="191"/>
      <c r="O9" s="191"/>
    </row>
    <row r="10" spans="1:15" ht="23.25" x14ac:dyDescent="0.25">
      <c r="B10" s="305" t="s">
        <v>287</v>
      </c>
      <c r="C10" s="306"/>
      <c r="D10" s="307"/>
      <c r="E10" s="50">
        <f>Kezdőlap!E44</f>
        <v>19300</v>
      </c>
      <c r="J10" s="191" t="s">
        <v>153</v>
      </c>
      <c r="K10" s="191"/>
      <c r="L10" s="191"/>
      <c r="M10" s="191"/>
      <c r="N10" s="191"/>
      <c r="O10" s="191"/>
    </row>
    <row r="11" spans="1:15" x14ac:dyDescent="0.25">
      <c r="J11" s="191" t="s">
        <v>154</v>
      </c>
      <c r="K11" s="191"/>
      <c r="L11" s="191"/>
      <c r="M11" s="191"/>
      <c r="N11" s="191"/>
      <c r="O11" s="191"/>
    </row>
    <row r="12" spans="1:15" ht="15" customHeight="1" x14ac:dyDescent="0.25">
      <c r="J12" s="272" t="s">
        <v>155</v>
      </c>
      <c r="K12" s="272"/>
      <c r="L12" s="272"/>
      <c r="M12" s="272"/>
      <c r="N12" s="272"/>
      <c r="O12" s="272"/>
    </row>
    <row r="13" spans="1:15" x14ac:dyDescent="0.25">
      <c r="J13" s="272"/>
      <c r="K13" s="272"/>
      <c r="L13" s="272"/>
      <c r="M13" s="272"/>
      <c r="N13" s="272"/>
      <c r="O13" s="272"/>
    </row>
    <row r="14" spans="1:15" x14ac:dyDescent="0.25">
      <c r="J14" s="272"/>
      <c r="K14" s="272"/>
      <c r="L14" s="272"/>
      <c r="M14" s="272"/>
      <c r="N14" s="272"/>
      <c r="O14" s="272"/>
    </row>
  </sheetData>
  <sheetProtection sheet="1" objects="1" scenarios="1" selectLockedCells="1"/>
  <mergeCells count="10">
    <mergeCell ref="J11:O11"/>
    <mergeCell ref="J12:O14"/>
    <mergeCell ref="B4:H5"/>
    <mergeCell ref="B8:D8"/>
    <mergeCell ref="J4:O5"/>
    <mergeCell ref="J6:O7"/>
    <mergeCell ref="J8:O8"/>
    <mergeCell ref="J9:O9"/>
    <mergeCell ref="J10:O10"/>
    <mergeCell ref="B10:D10"/>
  </mergeCells>
  <pageMargins left="0.7" right="0.7" top="0.75" bottom="0.75" header="0.3" footer="0.3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CA507C-3CA4-4278-A519-1A45B9527C7A}">
  <sheetPr codeName="Munka20">
    <tabColor rgb="FFFFC000"/>
  </sheetPr>
  <dimension ref="A1:P15"/>
  <sheetViews>
    <sheetView showGridLines="0" showRowColHeaders="0" workbookViewId="0"/>
  </sheetViews>
  <sheetFormatPr defaultRowHeight="15" x14ac:dyDescent="0.25"/>
  <cols>
    <col min="5" max="5" width="14.42578125" bestFit="1" customWidth="1"/>
  </cols>
  <sheetData>
    <row r="1" spans="1:16" x14ac:dyDescent="0.25">
      <c r="A1" s="48"/>
      <c r="B1" s="48"/>
      <c r="C1" s="48"/>
    </row>
    <row r="2" spans="1:16" x14ac:dyDescent="0.25">
      <c r="A2" s="48"/>
      <c r="B2" s="48"/>
      <c r="C2" s="48"/>
    </row>
    <row r="4" spans="1:16" ht="15" customHeight="1" x14ac:dyDescent="0.25">
      <c r="B4" s="248" t="s">
        <v>156</v>
      </c>
      <c r="C4" s="249"/>
      <c r="D4" s="249"/>
      <c r="E4" s="249"/>
      <c r="F4" s="249"/>
      <c r="G4" s="249"/>
      <c r="H4" s="250"/>
      <c r="J4" s="164" t="s">
        <v>254</v>
      </c>
      <c r="K4" s="165"/>
      <c r="L4" s="165"/>
      <c r="M4" s="165"/>
      <c r="N4" s="165"/>
      <c r="O4" s="165"/>
      <c r="P4" s="166"/>
    </row>
    <row r="5" spans="1:16" ht="15" customHeight="1" x14ac:dyDescent="0.25">
      <c r="B5" s="251"/>
      <c r="C5" s="252"/>
      <c r="D5" s="252"/>
      <c r="E5" s="252"/>
      <c r="F5" s="252"/>
      <c r="G5" s="252"/>
      <c r="H5" s="253"/>
      <c r="J5" s="170"/>
      <c r="K5" s="171"/>
      <c r="L5" s="171"/>
      <c r="M5" s="171"/>
      <c r="N5" s="171"/>
      <c r="O5" s="171"/>
      <c r="P5" s="172"/>
    </row>
    <row r="6" spans="1:16" ht="15" customHeight="1" x14ac:dyDescent="0.25">
      <c r="J6" s="257" t="s">
        <v>157</v>
      </c>
      <c r="K6" s="257"/>
      <c r="L6" s="257"/>
      <c r="M6" s="257"/>
      <c r="N6" s="257"/>
      <c r="O6" s="257"/>
      <c r="P6" s="257"/>
    </row>
    <row r="7" spans="1:16" x14ac:dyDescent="0.25">
      <c r="J7" s="191" t="s">
        <v>158</v>
      </c>
      <c r="K7" s="191"/>
      <c r="L7" s="191"/>
      <c r="M7" s="191"/>
      <c r="N7" s="191"/>
      <c r="O7" s="191"/>
      <c r="P7" s="191"/>
    </row>
    <row r="8" spans="1:16" ht="23.25" x14ac:dyDescent="0.25">
      <c r="B8" s="126" t="s">
        <v>59</v>
      </c>
      <c r="C8" s="126"/>
      <c r="D8" s="126"/>
      <c r="E8" s="56">
        <f>Kezdőlap!E43</f>
        <v>9700</v>
      </c>
      <c r="J8" s="191" t="s">
        <v>159</v>
      </c>
      <c r="K8" s="191"/>
      <c r="L8" s="191"/>
      <c r="M8" s="191"/>
      <c r="N8" s="191"/>
      <c r="O8" s="191"/>
      <c r="P8" s="191"/>
    </row>
    <row r="9" spans="1:16" x14ac:dyDescent="0.25">
      <c r="J9" s="191" t="s">
        <v>57</v>
      </c>
      <c r="K9" s="191"/>
      <c r="L9" s="191"/>
      <c r="M9" s="191"/>
      <c r="N9" s="191"/>
      <c r="O9" s="191"/>
      <c r="P9" s="191"/>
    </row>
    <row r="10" spans="1:16" ht="23.25" x14ac:dyDescent="0.25">
      <c r="B10" s="305" t="s">
        <v>287</v>
      </c>
      <c r="C10" s="306"/>
      <c r="D10" s="307"/>
      <c r="E10" s="50">
        <f>Kezdőlap!E44</f>
        <v>19300</v>
      </c>
      <c r="J10" s="191" t="s">
        <v>288</v>
      </c>
      <c r="K10" s="191"/>
      <c r="L10" s="191"/>
      <c r="M10" s="191"/>
      <c r="N10" s="191"/>
      <c r="O10" s="191"/>
      <c r="P10" s="191"/>
    </row>
    <row r="11" spans="1:16" x14ac:dyDescent="0.25">
      <c r="J11" s="272" t="s">
        <v>160</v>
      </c>
      <c r="K11" s="272"/>
      <c r="L11" s="272"/>
      <c r="M11" s="272"/>
      <c r="N11" s="272"/>
      <c r="O11" s="272"/>
      <c r="P11" s="272"/>
    </row>
    <row r="12" spans="1:16" x14ac:dyDescent="0.25">
      <c r="J12" s="272"/>
      <c r="K12" s="272"/>
      <c r="L12" s="272"/>
      <c r="M12" s="272"/>
      <c r="N12" s="272"/>
      <c r="O12" s="272"/>
      <c r="P12" s="272"/>
    </row>
    <row r="13" spans="1:16" x14ac:dyDescent="0.25">
      <c r="J13" s="272" t="s">
        <v>155</v>
      </c>
      <c r="K13" s="272"/>
      <c r="L13" s="272"/>
      <c r="M13" s="272"/>
      <c r="N13" s="272"/>
      <c r="O13" s="272"/>
      <c r="P13" s="272"/>
    </row>
    <row r="14" spans="1:16" x14ac:dyDescent="0.25">
      <c r="J14" s="272"/>
      <c r="K14" s="272"/>
      <c r="L14" s="272"/>
      <c r="M14" s="272"/>
      <c r="N14" s="272"/>
      <c r="O14" s="272"/>
      <c r="P14" s="272"/>
    </row>
    <row r="15" spans="1:16" x14ac:dyDescent="0.25">
      <c r="J15" s="272"/>
      <c r="K15" s="272"/>
      <c r="L15" s="272"/>
      <c r="M15" s="272"/>
      <c r="N15" s="272"/>
      <c r="O15" s="272"/>
      <c r="P15" s="272"/>
    </row>
  </sheetData>
  <sheetProtection sheet="1" objects="1" scenarios="1" selectLockedCells="1"/>
  <mergeCells count="11">
    <mergeCell ref="J9:P9"/>
    <mergeCell ref="J11:P12"/>
    <mergeCell ref="J13:P15"/>
    <mergeCell ref="J10:P10"/>
    <mergeCell ref="B4:H5"/>
    <mergeCell ref="J4:P5"/>
    <mergeCell ref="B8:D8"/>
    <mergeCell ref="J6:P6"/>
    <mergeCell ref="J7:P7"/>
    <mergeCell ref="J8:P8"/>
    <mergeCell ref="B10:D10"/>
  </mergeCells>
  <pageMargins left="0.7" right="0.7" top="0.75" bottom="0.75" header="0.3" footer="0.3"/>
  <pageSetup paperSize="9" orientation="portrait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ED2D0C-D4AD-41E8-B746-BC227ED5C26E}">
  <sheetPr codeName="Munka21">
    <tabColor rgb="FFFFC000"/>
  </sheetPr>
  <dimension ref="B3:AG36"/>
  <sheetViews>
    <sheetView showGridLines="0" showRowColHeaders="0" workbookViewId="0">
      <selection activeCell="AA6" sqref="AA6"/>
    </sheetView>
  </sheetViews>
  <sheetFormatPr defaultRowHeight="15" x14ac:dyDescent="0.25"/>
  <cols>
    <col min="1" max="1" width="3.7109375" customWidth="1"/>
    <col min="2" max="3" width="11.42578125" customWidth="1"/>
    <col min="4" max="5" width="10.85546875" customWidth="1"/>
    <col min="6" max="6" width="9.140625" customWidth="1"/>
    <col min="14" max="14" width="3.28515625" customWidth="1"/>
    <col min="25" max="25" width="4.42578125" customWidth="1"/>
    <col min="33" max="33" width="0" style="66" hidden="1" customWidth="1"/>
  </cols>
  <sheetData>
    <row r="3" spans="2:33" x14ac:dyDescent="0.25">
      <c r="B3" s="133" t="s">
        <v>14</v>
      </c>
      <c r="C3" s="133"/>
      <c r="D3" s="133"/>
      <c r="E3" s="133"/>
      <c r="F3" s="133"/>
      <c r="G3" s="133"/>
      <c r="H3" s="133"/>
      <c r="I3" s="133"/>
      <c r="J3" s="133"/>
      <c r="K3" s="133"/>
      <c r="L3" s="133"/>
      <c r="M3" s="133"/>
      <c r="O3" s="132" t="s">
        <v>254</v>
      </c>
      <c r="P3" s="132"/>
      <c r="Q3" s="132"/>
      <c r="R3" s="132"/>
      <c r="S3" s="132"/>
      <c r="T3" s="132"/>
      <c r="U3" s="132"/>
      <c r="V3" s="132"/>
      <c r="W3" s="132"/>
      <c r="X3" s="132"/>
    </row>
    <row r="4" spans="2:33" x14ac:dyDescent="0.25">
      <c r="B4" s="133"/>
      <c r="C4" s="133"/>
      <c r="D4" s="133"/>
      <c r="E4" s="133"/>
      <c r="F4" s="133"/>
      <c r="G4" s="133"/>
      <c r="H4" s="133"/>
      <c r="I4" s="133"/>
      <c r="J4" s="133"/>
      <c r="K4" s="133"/>
      <c r="L4" s="133"/>
      <c r="M4" s="133"/>
      <c r="O4" s="132"/>
      <c r="P4" s="132"/>
      <c r="Q4" s="132"/>
      <c r="R4" s="132"/>
      <c r="S4" s="132"/>
      <c r="T4" s="132"/>
      <c r="U4" s="132"/>
      <c r="V4" s="132"/>
      <c r="W4" s="132"/>
      <c r="X4" s="132"/>
    </row>
    <row r="5" spans="2:33" x14ac:dyDescent="0.25">
      <c r="B5" s="295" t="s">
        <v>161</v>
      </c>
      <c r="C5" s="295"/>
      <c r="D5" s="295"/>
      <c r="E5" s="295"/>
      <c r="F5" s="295"/>
      <c r="G5" s="295"/>
      <c r="H5" s="295"/>
      <c r="I5" s="295"/>
      <c r="J5" s="295"/>
      <c r="K5" s="295"/>
      <c r="L5" s="295"/>
      <c r="M5" s="295"/>
      <c r="O5" s="148" t="str">
        <f>IF(AG10=TRUE,"Képesítés bejegyzési kérelem","Vizsgajelentkezési/képesítés bejegyzési kérelem")</f>
        <v>Vizsgajelentkezési/képesítés bejegyzési kérelem</v>
      </c>
      <c r="P5" s="148"/>
      <c r="Q5" s="148"/>
      <c r="R5" s="148"/>
      <c r="S5" s="148"/>
      <c r="T5" s="148"/>
      <c r="U5" s="148"/>
      <c r="V5" s="148"/>
      <c r="W5" s="148"/>
      <c r="X5" s="148"/>
    </row>
    <row r="6" spans="2:33" x14ac:dyDescent="0.25">
      <c r="B6" s="13"/>
      <c r="C6" s="14"/>
      <c r="D6" s="14"/>
      <c r="E6" s="14"/>
      <c r="F6" s="14"/>
      <c r="G6" s="14"/>
      <c r="H6" s="14"/>
      <c r="I6" s="14"/>
      <c r="J6" s="14"/>
      <c r="K6" s="14"/>
      <c r="L6" s="14"/>
      <c r="M6" s="15"/>
      <c r="O6" s="148" t="str">
        <f>IF(AG10=TRUE,"A képesítés bejegyzéséhez Uniós HSZK megléte","Érvényes HSZK megléte")</f>
        <v>Érvényes HSZK megléte</v>
      </c>
      <c r="P6" s="148"/>
      <c r="Q6" s="148"/>
      <c r="R6" s="148"/>
      <c r="S6" s="148"/>
      <c r="T6" s="148"/>
      <c r="U6" s="148"/>
      <c r="V6" s="148"/>
      <c r="W6" s="148"/>
      <c r="X6" s="148"/>
      <c r="AG6" s="66" t="b">
        <v>0</v>
      </c>
    </row>
    <row r="7" spans="2:33" x14ac:dyDescent="0.25">
      <c r="B7" s="6"/>
      <c r="C7" s="7"/>
      <c r="D7" s="7"/>
      <c r="E7" s="7"/>
      <c r="F7" s="7"/>
      <c r="G7" s="7"/>
      <c r="H7" s="7"/>
      <c r="I7" s="7"/>
      <c r="J7" s="7"/>
      <c r="K7" s="7"/>
      <c r="L7" s="7"/>
      <c r="M7" s="8"/>
      <c r="O7" s="148" t="s">
        <v>158</v>
      </c>
      <c r="P7" s="148"/>
      <c r="Q7" s="148"/>
      <c r="R7" s="148"/>
      <c r="S7" s="148"/>
      <c r="T7" s="148"/>
      <c r="U7" s="148"/>
      <c r="V7" s="148"/>
      <c r="W7" s="148"/>
      <c r="X7" s="148"/>
      <c r="AG7" s="66" t="b">
        <v>0</v>
      </c>
    </row>
    <row r="8" spans="2:33" ht="15" customHeight="1" x14ac:dyDescent="0.25">
      <c r="B8" s="6"/>
      <c r="C8" s="7"/>
      <c r="D8" s="7"/>
      <c r="E8" s="7"/>
      <c r="F8" s="7"/>
      <c r="G8" s="7"/>
      <c r="H8" s="7"/>
      <c r="I8" s="7"/>
      <c r="J8" s="7"/>
      <c r="K8" s="7"/>
      <c r="L8" s="7"/>
      <c r="M8" s="8"/>
      <c r="O8" s="257" t="s">
        <v>155</v>
      </c>
      <c r="P8" s="257"/>
      <c r="Q8" s="257"/>
      <c r="R8" s="257"/>
      <c r="S8" s="257"/>
      <c r="T8" s="257"/>
      <c r="U8" s="257"/>
      <c r="V8" s="257"/>
      <c r="W8" s="257"/>
      <c r="X8" s="257"/>
      <c r="AG8" s="66" t="b">
        <v>0</v>
      </c>
    </row>
    <row r="9" spans="2:33" x14ac:dyDescent="0.25">
      <c r="B9" s="6"/>
      <c r="C9" s="7"/>
      <c r="D9" s="7"/>
      <c r="E9" s="7"/>
      <c r="F9" s="7"/>
      <c r="G9" s="7"/>
      <c r="H9" s="7"/>
      <c r="I9" s="7"/>
      <c r="J9" s="7"/>
      <c r="K9" s="7"/>
      <c r="L9" s="7"/>
      <c r="M9" s="8"/>
      <c r="O9" s="257"/>
      <c r="P9" s="257"/>
      <c r="Q9" s="257"/>
      <c r="R9" s="257"/>
      <c r="S9" s="257"/>
      <c r="T9" s="257"/>
      <c r="U9" s="257"/>
      <c r="V9" s="257"/>
      <c r="W9" s="257"/>
      <c r="X9" s="257"/>
      <c r="AG9" s="66" t="b">
        <v>0</v>
      </c>
    </row>
    <row r="10" spans="2:33" x14ac:dyDescent="0.25">
      <c r="B10" s="6"/>
      <c r="C10" s="7"/>
      <c r="D10" s="7"/>
      <c r="E10" s="7"/>
      <c r="F10" s="7"/>
      <c r="G10" s="7"/>
      <c r="H10" s="7"/>
      <c r="I10" s="7"/>
      <c r="J10" s="7"/>
      <c r="K10" s="7"/>
      <c r="L10" s="7"/>
      <c r="M10" s="8"/>
      <c r="O10" s="148" t="s">
        <v>57</v>
      </c>
      <c r="P10" s="148"/>
      <c r="Q10" s="148"/>
      <c r="R10" s="148"/>
      <c r="S10" s="148"/>
      <c r="T10" s="148"/>
      <c r="U10" s="148"/>
      <c r="V10" s="148"/>
      <c r="W10" s="148"/>
      <c r="X10" s="148"/>
      <c r="AG10" s="66" t="b">
        <v>0</v>
      </c>
    </row>
    <row r="11" spans="2:33" x14ac:dyDescent="0.25">
      <c r="B11" s="6"/>
      <c r="C11" s="7"/>
      <c r="D11" s="7"/>
      <c r="E11" s="7"/>
      <c r="F11" s="7"/>
      <c r="G11" s="7"/>
      <c r="H11" s="7"/>
      <c r="I11" s="7"/>
      <c r="J11" s="7"/>
      <c r="K11" s="7"/>
      <c r="L11" s="7"/>
      <c r="M11" s="8"/>
      <c r="O11" s="148" t="str">
        <f>IF(OR(AG6,AG10)=TRUE,"","Betöltött 17. életév")</f>
        <v>Betöltött 17. életév</v>
      </c>
      <c r="P11" s="148"/>
      <c r="Q11" s="148"/>
      <c r="R11" s="148"/>
      <c r="S11" s="148"/>
      <c r="T11" s="148"/>
      <c r="U11" s="148"/>
      <c r="V11" s="148"/>
      <c r="W11" s="148"/>
      <c r="X11" s="148"/>
      <c r="AG11" s="66" t="b">
        <v>0</v>
      </c>
    </row>
    <row r="12" spans="2:33" ht="15.75" x14ac:dyDescent="0.25">
      <c r="B12" s="6"/>
      <c r="C12" s="7"/>
      <c r="D12" s="7"/>
      <c r="E12" s="7"/>
      <c r="F12" s="7"/>
      <c r="G12" s="7"/>
      <c r="H12" s="7"/>
      <c r="I12" s="7"/>
      <c r="J12" s="7"/>
      <c r="K12" s="7"/>
      <c r="L12" s="7"/>
      <c r="M12" s="8"/>
      <c r="O12" s="308" t="str">
        <f>IF(OR(AG10)=TRUE,"","továbbá")</f>
        <v>továbbá</v>
      </c>
      <c r="P12" s="308"/>
      <c r="Q12" s="308"/>
      <c r="R12" s="308"/>
      <c r="S12" s="308"/>
      <c r="T12" s="308"/>
      <c r="U12" s="308"/>
      <c r="V12" s="308"/>
      <c r="W12" s="308"/>
      <c r="X12" s="308"/>
    </row>
    <row r="13" spans="2:33" ht="15.75" x14ac:dyDescent="0.25">
      <c r="B13" s="6"/>
      <c r="C13" s="7"/>
      <c r="D13" s="7"/>
      <c r="E13" s="7"/>
      <c r="F13" s="7"/>
      <c r="G13" s="7"/>
      <c r="H13" s="7"/>
      <c r="I13" s="7"/>
      <c r="J13" s="7"/>
      <c r="K13" s="7"/>
      <c r="L13" s="7"/>
      <c r="M13" s="8"/>
      <c r="O13" s="125" t="s">
        <v>162</v>
      </c>
      <c r="P13" s="125"/>
      <c r="Q13" s="125"/>
      <c r="R13" s="125"/>
      <c r="S13" s="125"/>
      <c r="T13" s="125"/>
      <c r="U13" s="125"/>
      <c r="V13" s="125"/>
      <c r="W13" s="125"/>
      <c r="X13" s="125"/>
      <c r="Z13" s="322" t="str">
        <f>IF(AND(AG10=TRUE),"A nem UNIÓs matróz képesítés birtokában vizsga nélkül az alábbiak figyelembevételével","")</f>
        <v/>
      </c>
      <c r="AA13" s="323"/>
      <c r="AB13" s="323"/>
      <c r="AC13" s="323"/>
      <c r="AD13" s="324"/>
    </row>
    <row r="14" spans="2:33" x14ac:dyDescent="0.25">
      <c r="B14" s="6"/>
      <c r="C14" s="7"/>
      <c r="D14" s="7"/>
      <c r="E14" s="7"/>
      <c r="F14" s="7"/>
      <c r="G14" s="7"/>
      <c r="H14" s="7"/>
      <c r="I14" s="7"/>
      <c r="J14" s="7"/>
      <c r="K14" s="7"/>
      <c r="L14" s="7"/>
      <c r="M14" s="8"/>
      <c r="O14" s="155" t="str">
        <f>IF(OR(AG10)=TRUE,"","Legalább két év időtartamú, az üzemeltetési szintű feladatok tekintetében a kompetenciákra vonatkozóan  meghatározott követelményeken alapuló, jóváhagyott képzési program elvégzése")</f>
        <v>Legalább két év időtartamú, az üzemeltetési szintű feladatok tekintetében a kompetenciákra vonatkozóan  meghatározott követelményeken alapuló, jóváhagyott képzési program elvégzése</v>
      </c>
      <c r="P14" s="156"/>
      <c r="Q14" s="156"/>
      <c r="R14" s="156"/>
      <c r="S14" s="14"/>
      <c r="T14" s="14"/>
      <c r="U14" s="156" t="str">
        <f>IF(OR(AG10)=TRUE,"",IF(OR(AG9,AG8,AG7)=TRUE,"Legalább kilenc hónap időtartamú jóváhagyott képzési program elvégzése, amely az üzemeltetési szintű feladatok tekintetében a kompetenciákra vonatkozóan az e mellékletben meghatározott követelményeken alapult",""))</f>
        <v/>
      </c>
      <c r="V14" s="156"/>
      <c r="W14" s="156"/>
      <c r="X14" s="157"/>
      <c r="Z14" s="325"/>
      <c r="AA14" s="326"/>
      <c r="AB14" s="326"/>
      <c r="AC14" s="326"/>
      <c r="AD14" s="327"/>
    </row>
    <row r="15" spans="2:33" x14ac:dyDescent="0.25">
      <c r="B15" s="9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1"/>
      <c r="O15" s="158"/>
      <c r="P15" s="159"/>
      <c r="Q15" s="159"/>
      <c r="R15" s="159"/>
      <c r="S15" s="7"/>
      <c r="T15" s="7"/>
      <c r="U15" s="159"/>
      <c r="V15" s="159"/>
      <c r="W15" s="159"/>
      <c r="X15" s="160"/>
      <c r="Z15" s="272" t="str">
        <f>IF(AND(AG10=TRUE),"Az előírt hajózási idő helyett legfeljebb 360 nap hajózási idővel kevesebb idő elegendő, ha a kérelmező a hajózási hatóság által elismert, egy gyakorlati navigációs munkát is magában foglaló speciális belvízi hajózási képzés sikeres elvégzését igazolja","")</f>
        <v/>
      </c>
      <c r="AA15" s="272"/>
      <c r="AB15" s="272"/>
      <c r="AC15" s="272"/>
      <c r="AD15" s="272"/>
    </row>
    <row r="16" spans="2:33" x14ac:dyDescent="0.25">
      <c r="O16" s="158"/>
      <c r="P16" s="159"/>
      <c r="Q16" s="159"/>
      <c r="R16" s="159"/>
      <c r="S16" s="7"/>
      <c r="T16" s="7"/>
      <c r="U16" s="159"/>
      <c r="V16" s="159"/>
      <c r="W16" s="159"/>
      <c r="X16" s="160"/>
      <c r="Z16" s="272"/>
      <c r="AA16" s="272"/>
      <c r="AB16" s="272"/>
      <c r="AC16" s="272"/>
      <c r="AD16" s="272"/>
    </row>
    <row r="17" spans="2:30" ht="15.75" x14ac:dyDescent="0.25">
      <c r="B17" s="265" t="s">
        <v>37</v>
      </c>
      <c r="C17" s="266"/>
      <c r="D17" s="266"/>
      <c r="E17" s="267"/>
      <c r="G17" s="125" t="s">
        <v>43</v>
      </c>
      <c r="H17" s="125"/>
      <c r="I17" s="125" t="s">
        <v>58</v>
      </c>
      <c r="J17" s="125"/>
      <c r="K17" s="125"/>
      <c r="O17" s="158"/>
      <c r="P17" s="159"/>
      <c r="Q17" s="159"/>
      <c r="R17" s="159"/>
      <c r="S17" s="314" t="str">
        <f>IF(OR(AG10)=TRUE,"",IF(OR(AG9,AG8,AG7)=TRUE,"vagy",""))</f>
        <v/>
      </c>
      <c r="T17" s="314"/>
      <c r="U17" s="159"/>
      <c r="V17" s="159"/>
      <c r="W17" s="159"/>
      <c r="X17" s="160"/>
      <c r="Z17" s="272"/>
      <c r="AA17" s="272"/>
      <c r="AB17" s="272"/>
      <c r="AC17" s="272"/>
      <c r="AD17" s="272"/>
    </row>
    <row r="18" spans="2:30" ht="15" customHeight="1" x14ac:dyDescent="0.25">
      <c r="B18" s="263" t="s">
        <v>163</v>
      </c>
      <c r="C18" s="263" t="s">
        <v>164</v>
      </c>
      <c r="D18" s="263" t="s">
        <v>165</v>
      </c>
      <c r="E18" s="263" t="s">
        <v>166</v>
      </c>
      <c r="G18" s="258">
        <f>SUM(B31:E31)</f>
        <v>113900</v>
      </c>
      <c r="H18" s="312"/>
      <c r="I18" s="131">
        <f>Kezdőlap!E43</f>
        <v>9700</v>
      </c>
      <c r="J18" s="313"/>
      <c r="K18" s="313"/>
      <c r="O18" s="158"/>
      <c r="P18" s="159"/>
      <c r="Q18" s="159"/>
      <c r="R18" s="159"/>
      <c r="S18" s="314"/>
      <c r="T18" s="314"/>
      <c r="U18" s="159"/>
      <c r="V18" s="159"/>
      <c r="W18" s="159"/>
      <c r="X18" s="160"/>
      <c r="Z18" s="272"/>
      <c r="AA18" s="272"/>
      <c r="AB18" s="272"/>
      <c r="AC18" s="272"/>
      <c r="AD18" s="272"/>
    </row>
    <row r="19" spans="2:30" x14ac:dyDescent="0.25">
      <c r="B19" s="263"/>
      <c r="C19" s="263"/>
      <c r="D19" s="263"/>
      <c r="E19" s="263"/>
      <c r="G19" s="312"/>
      <c r="H19" s="312"/>
      <c r="I19" s="313"/>
      <c r="J19" s="313"/>
      <c r="K19" s="313"/>
      <c r="O19" s="158"/>
      <c r="P19" s="159"/>
      <c r="Q19" s="159"/>
      <c r="R19" s="159"/>
      <c r="S19" s="7"/>
      <c r="T19" s="7"/>
      <c r="U19" s="159"/>
      <c r="V19" s="159"/>
      <c r="W19" s="159"/>
      <c r="X19" s="160"/>
      <c r="Z19" s="272"/>
      <c r="AA19" s="272"/>
      <c r="AB19" s="272"/>
      <c r="AC19" s="272"/>
      <c r="AD19" s="272"/>
    </row>
    <row r="20" spans="2:30" x14ac:dyDescent="0.25">
      <c r="B20" s="263"/>
      <c r="C20" s="263"/>
      <c r="D20" s="263"/>
      <c r="E20" s="263"/>
      <c r="G20" s="312"/>
      <c r="H20" s="312"/>
      <c r="I20" s="313"/>
      <c r="J20" s="313"/>
      <c r="K20" s="313"/>
      <c r="O20" s="158"/>
      <c r="P20" s="159"/>
      <c r="Q20" s="159"/>
      <c r="R20" s="159"/>
      <c r="S20" s="7"/>
      <c r="T20" s="7"/>
      <c r="U20" s="159"/>
      <c r="V20" s="159"/>
      <c r="W20" s="159"/>
      <c r="X20" s="160"/>
      <c r="Z20" s="272"/>
      <c r="AA20" s="272"/>
      <c r="AB20" s="272"/>
      <c r="AC20" s="272"/>
      <c r="AD20" s="272"/>
    </row>
    <row r="21" spans="2:30" x14ac:dyDescent="0.25">
      <c r="B21" s="263"/>
      <c r="C21" s="263"/>
      <c r="D21" s="263"/>
      <c r="E21" s="263"/>
      <c r="G21" s="312"/>
      <c r="H21" s="312"/>
      <c r="I21" s="313"/>
      <c r="J21" s="313"/>
      <c r="K21" s="313"/>
      <c r="O21" s="161"/>
      <c r="P21" s="162"/>
      <c r="Q21" s="162"/>
      <c r="R21" s="162"/>
      <c r="S21" s="10"/>
      <c r="T21" s="10"/>
      <c r="U21" s="162"/>
      <c r="V21" s="162"/>
      <c r="W21" s="162"/>
      <c r="X21" s="163"/>
      <c r="Z21" s="272"/>
      <c r="AA21" s="272"/>
      <c r="AB21" s="272"/>
      <c r="AC21" s="272"/>
      <c r="AD21" s="272"/>
    </row>
    <row r="22" spans="2:30" x14ac:dyDescent="0.25">
      <c r="B22" s="263"/>
      <c r="C22" s="263"/>
      <c r="D22" s="263"/>
      <c r="E22" s="263"/>
      <c r="G22" s="312"/>
      <c r="H22" s="312"/>
      <c r="I22" s="313"/>
      <c r="J22" s="313"/>
      <c r="K22" s="313"/>
      <c r="O22" s="309" t="str">
        <f>IF(OR(AG10)=TRUE,"","és")</f>
        <v>és</v>
      </c>
      <c r="P22" s="310"/>
      <c r="Q22" s="310"/>
      <c r="R22" s="310"/>
      <c r="S22" s="310"/>
      <c r="T22" s="310"/>
      <c r="U22" s="310"/>
      <c r="V22" s="310"/>
      <c r="W22" s="310"/>
      <c r="X22" s="311"/>
      <c r="Z22" s="272" t="str">
        <f>IF(AND(AG10=TRUE),"Az elfogadható kevesebb idő mértéke legfeljebb a speciális képzés időtartamának megfelelő lehet. A 2022. április 19. napja előtt megkezdett gyakorlatszerzésre fordított időt el kell fogadni.","")</f>
        <v/>
      </c>
      <c r="AA22" s="272"/>
      <c r="AB22" s="272"/>
      <c r="AC22" s="272"/>
      <c r="AD22" s="272"/>
    </row>
    <row r="23" spans="2:30" x14ac:dyDescent="0.25">
      <c r="B23" s="263"/>
      <c r="C23" s="263"/>
      <c r="D23" s="263"/>
      <c r="E23" s="263"/>
      <c r="G23" s="312"/>
      <c r="H23" s="312"/>
      <c r="I23" s="313"/>
      <c r="J23" s="313"/>
      <c r="K23" s="313"/>
      <c r="O23" s="309" t="str">
        <f>IF(OR(AG10)=TRUE,"","Az elvégzett képzési program részeként legalább 90 nap hajózási idő teljesítése")</f>
        <v>Az elvégzett képzési program részeként legalább 90 nap hajózási idő teljesítése</v>
      </c>
      <c r="P23" s="310"/>
      <c r="Q23" s="310"/>
      <c r="R23" s="310"/>
      <c r="S23" s="310"/>
      <c r="T23" s="310"/>
      <c r="U23" s="310"/>
      <c r="V23" s="310"/>
      <c r="W23" s="310"/>
      <c r="X23" s="311"/>
      <c r="Z23" s="272"/>
      <c r="AA23" s="272"/>
      <c r="AB23" s="272"/>
      <c r="AC23" s="272"/>
      <c r="AD23" s="272"/>
    </row>
    <row r="24" spans="2:30" x14ac:dyDescent="0.25">
      <c r="B24" s="263"/>
      <c r="C24" s="263"/>
      <c r="D24" s="263"/>
      <c r="E24" s="263"/>
      <c r="G24" s="312"/>
      <c r="H24" s="312"/>
      <c r="I24" s="313"/>
      <c r="J24" s="313"/>
      <c r="K24" s="313"/>
      <c r="O24" s="188" t="str">
        <f>IF(OR(AG10)=TRUE,"","és")</f>
        <v>és</v>
      </c>
      <c r="P24" s="189"/>
      <c r="Q24" s="189"/>
      <c r="R24" s="189"/>
      <c r="S24" s="189"/>
      <c r="T24" s="189"/>
      <c r="U24" s="189"/>
      <c r="V24" s="189"/>
      <c r="W24" s="189"/>
      <c r="X24" s="190"/>
      <c r="Z24" s="272"/>
      <c r="AA24" s="272"/>
      <c r="AB24" s="272"/>
      <c r="AC24" s="272"/>
      <c r="AD24" s="272"/>
    </row>
    <row r="25" spans="2:30" x14ac:dyDescent="0.25">
      <c r="B25" s="263"/>
      <c r="C25" s="263"/>
      <c r="D25" s="263"/>
      <c r="E25" s="263"/>
      <c r="G25" s="312"/>
      <c r="H25" s="312"/>
      <c r="I25" s="313"/>
      <c r="J25" s="313"/>
      <c r="K25" s="313"/>
      <c r="O25" s="155" t="str">
        <f>IF(OR(AG10)=TRUE,"","A hajózási vizsgaközpont által lebonyolított képesítő vizsga sikeres letétele vagy a jóváhagyott képzési programmal rendelkező képzőszerv által lebonyolított képesítő vizsga sikeres letétele")</f>
        <v>A hajózási vizsgaközpont által lebonyolított képesítő vizsga sikeres letétele vagy a jóváhagyott képzési programmal rendelkező képzőszerv által lebonyolított képesítő vizsga sikeres letétele</v>
      </c>
      <c r="P25" s="156"/>
      <c r="Q25" s="156"/>
      <c r="R25" s="156"/>
      <c r="S25" s="156"/>
      <c r="T25" s="156"/>
      <c r="U25" s="156"/>
      <c r="V25" s="156"/>
      <c r="W25" s="156"/>
      <c r="X25" s="157"/>
      <c r="Z25" s="272"/>
      <c r="AA25" s="272"/>
      <c r="AB25" s="272"/>
      <c r="AC25" s="272"/>
      <c r="AD25" s="272"/>
    </row>
    <row r="26" spans="2:30" x14ac:dyDescent="0.25">
      <c r="B26" s="263"/>
      <c r="C26" s="263"/>
      <c r="D26" s="263"/>
      <c r="E26" s="263"/>
      <c r="G26" s="312"/>
      <c r="H26" s="312"/>
      <c r="I26" s="313"/>
      <c r="J26" s="313"/>
      <c r="K26" s="313"/>
      <c r="O26" s="161"/>
      <c r="P26" s="162"/>
      <c r="Q26" s="162"/>
      <c r="R26" s="162"/>
      <c r="S26" s="162"/>
      <c r="T26" s="162"/>
      <c r="U26" s="162"/>
      <c r="V26" s="162"/>
      <c r="W26" s="162"/>
      <c r="X26" s="163"/>
    </row>
    <row r="27" spans="2:30" ht="15" customHeight="1" x14ac:dyDescent="0.25">
      <c r="B27" s="263"/>
      <c r="C27" s="263"/>
      <c r="D27" s="263"/>
      <c r="E27" s="263"/>
      <c r="O27" s="315" t="str">
        <f>IF(OR(AG10)=TRUE,"",IF(OR(AG6)=TRUE,"vagy",""))</f>
        <v/>
      </c>
      <c r="P27" s="316"/>
      <c r="Q27" s="316"/>
      <c r="R27" s="316"/>
      <c r="S27" s="316"/>
      <c r="T27" s="316"/>
      <c r="U27" s="316"/>
      <c r="V27" s="316"/>
      <c r="W27" s="316"/>
      <c r="X27" s="317"/>
      <c r="Z27" s="296" t="s">
        <v>280</v>
      </c>
      <c r="AA27" s="297"/>
      <c r="AB27" s="297"/>
      <c r="AC27" s="297"/>
      <c r="AD27" s="298"/>
    </row>
    <row r="28" spans="2:30" x14ac:dyDescent="0.25">
      <c r="B28" s="263"/>
      <c r="C28" s="263"/>
      <c r="D28" s="263"/>
      <c r="E28" s="263"/>
      <c r="O28" s="318"/>
      <c r="P28" s="319"/>
      <c r="Q28" s="319"/>
      <c r="R28" s="319"/>
      <c r="S28" s="319"/>
      <c r="T28" s="319"/>
      <c r="U28" s="319"/>
      <c r="V28" s="319"/>
      <c r="W28" s="319"/>
      <c r="X28" s="320"/>
      <c r="Z28" s="299"/>
      <c r="AA28" s="321"/>
      <c r="AB28" s="321"/>
      <c r="AC28" s="321"/>
      <c r="AD28" s="301"/>
    </row>
    <row r="29" spans="2:30" ht="15.75" x14ac:dyDescent="0.25">
      <c r="B29" s="263"/>
      <c r="C29" s="263"/>
      <c r="D29" s="263"/>
      <c r="E29" s="263"/>
      <c r="O29" s="265" t="s">
        <v>167</v>
      </c>
      <c r="P29" s="266"/>
      <c r="Q29" s="266"/>
      <c r="R29" s="266"/>
      <c r="S29" s="266"/>
      <c r="T29" s="266"/>
      <c r="U29" s="266"/>
      <c r="V29" s="266"/>
      <c r="W29" s="266"/>
      <c r="X29" s="267"/>
      <c r="Z29" s="299"/>
      <c r="AA29" s="321"/>
      <c r="AB29" s="321"/>
      <c r="AC29" s="321"/>
      <c r="AD29" s="301"/>
    </row>
    <row r="30" spans="2:30" ht="15.75" x14ac:dyDescent="0.25">
      <c r="B30" s="43" t="str">
        <f>IF(AG10=TRUE,"Felmentés","Vizsga")</f>
        <v>Vizsga</v>
      </c>
      <c r="C30" s="43" t="str">
        <f>IF(AG10=TRUE,"Felmentés","Vizsga")</f>
        <v>Vizsga</v>
      </c>
      <c r="D30" s="43" t="str">
        <f>IF(AG10=TRUE,"Felmentés","Vizsga")</f>
        <v>Vizsga</v>
      </c>
      <c r="E30" s="43" t="str">
        <f>IF(AG10=TRUE,"Felmentés",IF(OR(AG11)=TRUE,"Felmentés","Vizsga"))</f>
        <v>Vizsga</v>
      </c>
      <c r="O30" s="155" t="str">
        <f>IF(OR(AG10)=TRUE,"",IF(OR(AG6)=TRUE,"Legalább 360 nap hajózási idő igazolása, 
vagy legalább 180 nap hajózási idő és legalább 250 olyan nap igazolása, amelynek során a kérelmező tengeri hajón, a fedélzeti személyzet tagjaként szerzett munkatapasztalatot",""))</f>
        <v/>
      </c>
      <c r="P30" s="156"/>
      <c r="Q30" s="156"/>
      <c r="R30" s="156"/>
      <c r="S30" s="156"/>
      <c r="T30" s="156"/>
      <c r="U30" s="156"/>
      <c r="V30" s="156"/>
      <c r="W30" s="156"/>
      <c r="X30" s="157"/>
      <c r="Z30" s="299"/>
      <c r="AA30" s="321"/>
      <c r="AB30" s="321"/>
      <c r="AC30" s="321"/>
      <c r="AD30" s="301"/>
    </row>
    <row r="31" spans="2:30" ht="15.75" x14ac:dyDescent="0.25">
      <c r="B31" s="39">
        <f>IF(OR(AG10)=TRUE,0,Kezdőlap!E37)</f>
        <v>19400</v>
      </c>
      <c r="C31" s="39">
        <f>IF(OR(AG10)=TRUE,0,Kezdőlap!E40)</f>
        <v>31500</v>
      </c>
      <c r="D31" s="39">
        <f>IF(OR(AG10)=TRUE,0,Kezdőlap!E40)</f>
        <v>31500</v>
      </c>
      <c r="E31" s="39">
        <f>IF(OR(AG10:AG11)=TRUE,0,Kezdőlap!E40)</f>
        <v>31500</v>
      </c>
      <c r="O31" s="158"/>
      <c r="P31" s="159"/>
      <c r="Q31" s="159"/>
      <c r="R31" s="159"/>
      <c r="S31" s="159"/>
      <c r="T31" s="159"/>
      <c r="U31" s="159"/>
      <c r="V31" s="159"/>
      <c r="W31" s="159"/>
      <c r="X31" s="160"/>
      <c r="Z31" s="299"/>
      <c r="AA31" s="321"/>
      <c r="AB31" s="321"/>
      <c r="AC31" s="321"/>
      <c r="AD31" s="301"/>
    </row>
    <row r="32" spans="2:30" x14ac:dyDescent="0.25">
      <c r="O32" s="161"/>
      <c r="P32" s="162"/>
      <c r="Q32" s="162"/>
      <c r="R32" s="162"/>
      <c r="S32" s="162"/>
      <c r="T32" s="162"/>
      <c r="U32" s="162"/>
      <c r="V32" s="162"/>
      <c r="W32" s="162"/>
      <c r="X32" s="163"/>
      <c r="Z32" s="302"/>
      <c r="AA32" s="303"/>
      <c r="AB32" s="303"/>
      <c r="AC32" s="303"/>
      <c r="AD32" s="304"/>
    </row>
    <row r="33" spans="2:24" x14ac:dyDescent="0.25">
      <c r="O33" s="309" t="str">
        <f>IF(OR(AG10)=TRUE,"",IF(OR(AG6)=TRUE,"és",""))</f>
        <v/>
      </c>
      <c r="P33" s="310"/>
      <c r="Q33" s="310"/>
      <c r="R33" s="310"/>
      <c r="S33" s="310"/>
      <c r="T33" s="310"/>
      <c r="U33" s="310"/>
      <c r="V33" s="310"/>
      <c r="W33" s="310"/>
      <c r="X33" s="311"/>
    </row>
    <row r="34" spans="2:24" x14ac:dyDescent="0.25">
      <c r="B34" s="328" t="s">
        <v>169</v>
      </c>
      <c r="C34" s="329"/>
      <c r="D34" s="329"/>
      <c r="E34" s="329"/>
      <c r="F34" s="329"/>
      <c r="G34" s="329"/>
      <c r="H34" s="329"/>
      <c r="I34" s="329"/>
      <c r="J34" s="329"/>
      <c r="K34" s="329"/>
      <c r="L34" s="329"/>
      <c r="M34" s="329"/>
      <c r="O34" s="155" t="str">
        <f>IF(OR(AG10)=TRUE,"",IF(OR(AG6)=TRUE,"A hajózási vizsgaközpont által lebonyolított képesítő vizsga sikeres letétele vagy a jóváhagyott képzési programmal rendelkező képzőszerv által lebonyolított képesítő vizsga sikeres letétele",""))</f>
        <v/>
      </c>
      <c r="P34" s="156"/>
      <c r="Q34" s="156"/>
      <c r="R34" s="156"/>
      <c r="S34" s="156"/>
      <c r="T34" s="156"/>
      <c r="U34" s="156"/>
      <c r="V34" s="156"/>
      <c r="W34" s="156"/>
      <c r="X34" s="157"/>
    </row>
    <row r="35" spans="2:24" x14ac:dyDescent="0.25">
      <c r="B35" s="329"/>
      <c r="C35" s="329"/>
      <c r="D35" s="329"/>
      <c r="E35" s="329"/>
      <c r="F35" s="329"/>
      <c r="G35" s="329"/>
      <c r="H35" s="329"/>
      <c r="I35" s="329"/>
      <c r="J35" s="329"/>
      <c r="K35" s="329"/>
      <c r="L35" s="329"/>
      <c r="M35" s="329"/>
      <c r="O35" s="161"/>
      <c r="P35" s="162"/>
      <c r="Q35" s="162"/>
      <c r="R35" s="162"/>
      <c r="S35" s="162"/>
      <c r="T35" s="162"/>
      <c r="U35" s="162"/>
      <c r="V35" s="162"/>
      <c r="W35" s="162"/>
      <c r="X35" s="163"/>
    </row>
    <row r="36" spans="2:24" x14ac:dyDescent="0.25">
      <c r="B36" s="329"/>
      <c r="C36" s="329"/>
      <c r="D36" s="329"/>
      <c r="E36" s="329"/>
      <c r="F36" s="329"/>
      <c r="G36" s="329"/>
      <c r="H36" s="329"/>
      <c r="I36" s="329"/>
      <c r="J36" s="329"/>
      <c r="K36" s="329"/>
      <c r="L36" s="329"/>
      <c r="M36" s="329"/>
    </row>
  </sheetData>
  <sheetProtection sheet="1" objects="1" scenarios="1" selectLockedCells="1"/>
  <mergeCells count="37">
    <mergeCell ref="Z27:AD32"/>
    <mergeCell ref="Z13:AD14"/>
    <mergeCell ref="Z15:AD21"/>
    <mergeCell ref="Z22:AD25"/>
    <mergeCell ref="B34:M36"/>
    <mergeCell ref="O34:X35"/>
    <mergeCell ref="E18:E29"/>
    <mergeCell ref="D18:D29"/>
    <mergeCell ref="C18:C29"/>
    <mergeCell ref="B18:B29"/>
    <mergeCell ref="B17:E17"/>
    <mergeCell ref="U14:X21"/>
    <mergeCell ref="O12:X12"/>
    <mergeCell ref="O33:X33"/>
    <mergeCell ref="G17:H17"/>
    <mergeCell ref="G18:H26"/>
    <mergeCell ref="I17:K17"/>
    <mergeCell ref="I18:K26"/>
    <mergeCell ref="S17:T18"/>
    <mergeCell ref="O27:X28"/>
    <mergeCell ref="O29:X29"/>
    <mergeCell ref="O30:X32"/>
    <mergeCell ref="O13:X13"/>
    <mergeCell ref="O22:X22"/>
    <mergeCell ref="O23:X23"/>
    <mergeCell ref="O24:X24"/>
    <mergeCell ref="O25:X26"/>
    <mergeCell ref="O14:R21"/>
    <mergeCell ref="O7:X7"/>
    <mergeCell ref="O8:X9"/>
    <mergeCell ref="O10:X10"/>
    <mergeCell ref="O11:X11"/>
    <mergeCell ref="B3:M4"/>
    <mergeCell ref="B5:M5"/>
    <mergeCell ref="O3:X4"/>
    <mergeCell ref="O5:X5"/>
    <mergeCell ref="O6:X6"/>
  </mergeCells>
  <conditionalFormatting sqref="B30:E30">
    <cfRule type="containsText" dxfId="44" priority="1" operator="containsText" text="Vizsga">
      <formula>NOT(ISERROR(SEARCH("Vizsga",B30)))</formula>
    </cfRule>
  </conditionalFormatting>
  <pageMargins left="0.7" right="0.7" top="0.75" bottom="0.75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1745" r:id="rId4" name="Check Box 1">
              <controlPr defaultSize="0" autoFill="0" autoLine="0" autoPict="0">
                <anchor moveWithCells="1">
                  <from>
                    <xdr:col>1</xdr:col>
                    <xdr:colOff>38100</xdr:colOff>
                    <xdr:row>5</xdr:row>
                    <xdr:rowOff>57150</xdr:rowOff>
                  </from>
                  <to>
                    <xdr:col>8</xdr:col>
                    <xdr:colOff>600075</xdr:colOff>
                    <xdr:row>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46" r:id="rId5" name="Check Box 2">
              <controlPr defaultSize="0" autoFill="0" autoLine="0" autoPict="0">
                <anchor moveWithCells="1">
                  <from>
                    <xdr:col>1</xdr:col>
                    <xdr:colOff>38100</xdr:colOff>
                    <xdr:row>6</xdr:row>
                    <xdr:rowOff>133350</xdr:rowOff>
                  </from>
                  <to>
                    <xdr:col>10</xdr:col>
                    <xdr:colOff>600075</xdr:colOff>
                    <xdr:row>8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47" r:id="rId6" name="Check Box 3">
              <controlPr defaultSize="0" autoFill="0" autoLine="0" autoPict="0">
                <anchor moveWithCells="1">
                  <from>
                    <xdr:col>1</xdr:col>
                    <xdr:colOff>38100</xdr:colOff>
                    <xdr:row>8</xdr:row>
                    <xdr:rowOff>47625</xdr:rowOff>
                  </from>
                  <to>
                    <xdr:col>11</xdr:col>
                    <xdr:colOff>266700</xdr:colOff>
                    <xdr:row>9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48" r:id="rId7" name="Check Box 4">
              <controlPr defaultSize="0" autoFill="0" autoLine="0" autoPict="0">
                <anchor moveWithCells="1">
                  <from>
                    <xdr:col>1</xdr:col>
                    <xdr:colOff>38100</xdr:colOff>
                    <xdr:row>9</xdr:row>
                    <xdr:rowOff>104775</xdr:rowOff>
                  </from>
                  <to>
                    <xdr:col>10</xdr:col>
                    <xdr:colOff>600075</xdr:colOff>
                    <xdr:row>11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49" r:id="rId8" name="Check Box 5">
              <controlPr defaultSize="0" autoFill="0" autoLine="0" autoPict="0">
                <anchor moveWithCells="1">
                  <from>
                    <xdr:col>1</xdr:col>
                    <xdr:colOff>38100</xdr:colOff>
                    <xdr:row>10</xdr:row>
                    <xdr:rowOff>180975</xdr:rowOff>
                  </from>
                  <to>
                    <xdr:col>11</xdr:col>
                    <xdr:colOff>533400</xdr:colOff>
                    <xdr:row>12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50" r:id="rId9" name="Check Box 6">
              <controlPr defaultSize="0" autoFill="0" autoLine="0" autoPict="0">
                <anchor moveWithCells="1">
                  <from>
                    <xdr:col>1</xdr:col>
                    <xdr:colOff>38100</xdr:colOff>
                    <xdr:row>13</xdr:row>
                    <xdr:rowOff>9525</xdr:rowOff>
                  </from>
                  <to>
                    <xdr:col>11</xdr:col>
                    <xdr:colOff>76200</xdr:colOff>
                    <xdr:row>14</xdr:row>
                    <xdr:rowOff>161925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151865-CAF6-45CD-A334-B89F244AE727}">
  <sheetPr codeName="Munka22">
    <tabColor rgb="FFFFC000"/>
  </sheetPr>
  <dimension ref="A1:AC35"/>
  <sheetViews>
    <sheetView showGridLines="0" showRowColHeaders="0" workbookViewId="0">
      <selection activeCell="J2" sqref="J2"/>
    </sheetView>
  </sheetViews>
  <sheetFormatPr defaultRowHeight="15" x14ac:dyDescent="0.25"/>
  <cols>
    <col min="2" max="2" width="12.28515625" customWidth="1"/>
    <col min="3" max="4" width="10.42578125" customWidth="1"/>
    <col min="5" max="5" width="11.42578125" customWidth="1"/>
    <col min="23" max="23" width="9.140625" style="66" hidden="1" customWidth="1"/>
  </cols>
  <sheetData>
    <row r="1" spans="1:23" x14ac:dyDescent="0.25">
      <c r="A1" s="48"/>
      <c r="B1" s="48"/>
      <c r="C1" s="48"/>
    </row>
    <row r="2" spans="1:23" x14ac:dyDescent="0.25">
      <c r="A2" s="48"/>
      <c r="B2" s="48"/>
      <c r="C2" s="48"/>
    </row>
    <row r="4" spans="1:23" x14ac:dyDescent="0.25">
      <c r="B4" s="133" t="s">
        <v>168</v>
      </c>
      <c r="C4" s="133"/>
      <c r="D4" s="133"/>
      <c r="E4" s="133"/>
      <c r="F4" s="133"/>
      <c r="G4" s="133"/>
      <c r="H4" s="133"/>
      <c r="I4" s="133"/>
      <c r="J4" s="133"/>
      <c r="K4" s="133"/>
      <c r="M4" s="132" t="s">
        <v>254</v>
      </c>
      <c r="N4" s="132"/>
      <c r="O4" s="132"/>
      <c r="P4" s="132"/>
      <c r="Q4" s="132"/>
      <c r="R4" s="132"/>
      <c r="S4" s="132"/>
      <c r="T4" s="132"/>
      <c r="U4" s="132"/>
      <c r="V4" s="132"/>
    </row>
    <row r="5" spans="1:23" x14ac:dyDescent="0.25">
      <c r="B5" s="133"/>
      <c r="C5" s="133"/>
      <c r="D5" s="133"/>
      <c r="E5" s="133"/>
      <c r="F5" s="133"/>
      <c r="G5" s="133"/>
      <c r="H5" s="133"/>
      <c r="I5" s="133"/>
      <c r="J5" s="133"/>
      <c r="K5" s="133"/>
      <c r="M5" s="132"/>
      <c r="N5" s="132"/>
      <c r="O5" s="132"/>
      <c r="P5" s="132"/>
      <c r="Q5" s="132"/>
      <c r="R5" s="132"/>
      <c r="S5" s="132"/>
      <c r="T5" s="132"/>
      <c r="U5" s="132"/>
      <c r="V5" s="132"/>
    </row>
    <row r="6" spans="1:23" x14ac:dyDescent="0.25">
      <c r="B6" s="295" t="s">
        <v>161</v>
      </c>
      <c r="C6" s="295"/>
      <c r="D6" s="295"/>
      <c r="E6" s="295"/>
      <c r="F6" s="295"/>
      <c r="G6" s="295"/>
      <c r="H6" s="295"/>
      <c r="I6" s="295"/>
      <c r="J6" s="295"/>
      <c r="K6" s="295"/>
      <c r="M6" s="148" t="str">
        <f>IF(OR(W6:W7)=TRUE,"Képesítés bejegyzési kérelem","Vizsgajelentkezési/képesítés bejegyzési kérelem")</f>
        <v>Vizsgajelentkezési/képesítés bejegyzési kérelem</v>
      </c>
      <c r="N6" s="148"/>
      <c r="O6" s="148"/>
      <c r="P6" s="148"/>
      <c r="Q6" s="148"/>
      <c r="R6" s="148"/>
      <c r="S6" s="148"/>
      <c r="T6" s="148"/>
      <c r="U6" s="148"/>
      <c r="V6" s="148"/>
      <c r="W6" s="66" t="b">
        <v>0</v>
      </c>
    </row>
    <row r="7" spans="1:23" x14ac:dyDescent="0.25">
      <c r="B7" s="13"/>
      <c r="C7" s="14"/>
      <c r="D7" s="14"/>
      <c r="E7" s="14"/>
      <c r="F7" s="14"/>
      <c r="G7" s="14"/>
      <c r="H7" s="14"/>
      <c r="I7" s="14"/>
      <c r="J7" s="14"/>
      <c r="K7" s="15"/>
      <c r="M7" s="148" t="s">
        <v>170</v>
      </c>
      <c r="N7" s="148"/>
      <c r="O7" s="148"/>
      <c r="P7" s="148"/>
      <c r="Q7" s="148"/>
      <c r="R7" s="148"/>
      <c r="S7" s="148"/>
      <c r="T7" s="148"/>
      <c r="U7" s="148"/>
      <c r="V7" s="148"/>
      <c r="W7" s="66" t="b">
        <v>0</v>
      </c>
    </row>
    <row r="8" spans="1:23" x14ac:dyDescent="0.25">
      <c r="B8" s="6"/>
      <c r="C8" s="7"/>
      <c r="D8" s="7"/>
      <c r="E8" s="7"/>
      <c r="F8" s="7"/>
      <c r="G8" s="7"/>
      <c r="H8" s="7"/>
      <c r="I8" s="7"/>
      <c r="J8" s="7"/>
      <c r="K8" s="8"/>
      <c r="M8" s="148" t="s">
        <v>158</v>
      </c>
      <c r="N8" s="148"/>
      <c r="O8" s="148"/>
      <c r="P8" s="148"/>
      <c r="Q8" s="148"/>
      <c r="R8" s="148"/>
      <c r="S8" s="148"/>
      <c r="T8" s="148"/>
      <c r="U8" s="148"/>
      <c r="V8" s="148"/>
      <c r="W8" s="66" t="b">
        <v>0</v>
      </c>
    </row>
    <row r="9" spans="1:23" x14ac:dyDescent="0.25">
      <c r="B9" s="6"/>
      <c r="C9" s="7"/>
      <c r="D9" s="7"/>
      <c r="E9" s="7"/>
      <c r="F9" s="7"/>
      <c r="G9" s="7"/>
      <c r="H9" s="7"/>
      <c r="I9" s="7"/>
      <c r="J9" s="7"/>
      <c r="K9" s="8"/>
      <c r="M9" s="257" t="s">
        <v>155</v>
      </c>
      <c r="N9" s="257"/>
      <c r="O9" s="257"/>
      <c r="P9" s="257"/>
      <c r="Q9" s="257"/>
      <c r="R9" s="257"/>
      <c r="S9" s="257"/>
      <c r="T9" s="257"/>
      <c r="U9" s="257"/>
      <c r="V9" s="257"/>
    </row>
    <row r="10" spans="1:23" x14ac:dyDescent="0.25">
      <c r="B10" s="6"/>
      <c r="C10" s="7"/>
      <c r="D10" s="7"/>
      <c r="E10" s="7"/>
      <c r="F10" s="7"/>
      <c r="G10" s="7"/>
      <c r="H10" s="7"/>
      <c r="I10" s="7"/>
      <c r="J10" s="7"/>
      <c r="K10" s="8"/>
      <c r="M10" s="257"/>
      <c r="N10" s="257"/>
      <c r="O10" s="257"/>
      <c r="P10" s="257"/>
      <c r="Q10" s="257"/>
      <c r="R10" s="257"/>
      <c r="S10" s="257"/>
      <c r="T10" s="257"/>
      <c r="U10" s="257"/>
      <c r="V10" s="257"/>
    </row>
    <row r="11" spans="1:23" x14ac:dyDescent="0.25">
      <c r="B11" s="6"/>
      <c r="C11" s="7"/>
      <c r="D11" s="7"/>
      <c r="E11" s="7"/>
      <c r="F11" s="7"/>
      <c r="G11" s="7"/>
      <c r="H11" s="7"/>
      <c r="I11" s="7"/>
      <c r="J11" s="7"/>
      <c r="K11" s="8"/>
      <c r="M11" s="148" t="s">
        <v>57</v>
      </c>
      <c r="N11" s="148"/>
      <c r="O11" s="148"/>
      <c r="P11" s="148"/>
      <c r="Q11" s="148"/>
      <c r="R11" s="148"/>
      <c r="S11" s="148"/>
      <c r="T11" s="148"/>
      <c r="U11" s="148"/>
      <c r="V11" s="148"/>
    </row>
    <row r="12" spans="1:23" ht="15.75" x14ac:dyDescent="0.25">
      <c r="B12" s="6"/>
      <c r="C12" s="7"/>
      <c r="D12" s="7"/>
      <c r="E12" s="7"/>
      <c r="F12" s="7"/>
      <c r="G12" s="7"/>
      <c r="H12" s="7"/>
      <c r="I12" s="7"/>
      <c r="J12" s="7"/>
      <c r="K12" s="8"/>
      <c r="M12" s="330" t="str">
        <f>IF(OR(W7)=TRUE,"","továbbá")</f>
        <v>továbbá</v>
      </c>
      <c r="N12" s="330"/>
      <c r="O12" s="330"/>
      <c r="P12" s="330"/>
      <c r="Q12" s="330"/>
      <c r="R12" s="330"/>
      <c r="S12" s="330"/>
      <c r="T12" s="330"/>
      <c r="U12" s="330"/>
      <c r="V12" s="330"/>
    </row>
    <row r="13" spans="1:23" x14ac:dyDescent="0.25">
      <c r="B13" s="6"/>
      <c r="C13" s="7"/>
      <c r="D13" s="7"/>
      <c r="E13" s="7"/>
      <c r="F13" s="7"/>
      <c r="G13" s="7"/>
      <c r="H13" s="7"/>
      <c r="I13" s="7"/>
      <c r="J13" s="7"/>
      <c r="K13" s="8"/>
      <c r="M13" s="155" t="str">
        <f>IF(OR(W6:W7)=TRUE,"","Legalább három év időtartamú, az üzemeltetési szintű feladatok tekintetében a kompetenciákra vonatkozóan  meghatározott követelményeken alapuló, jóváhagyott képzési program elvégzése")</f>
        <v>Legalább három év időtartamú, az üzemeltetési szintű feladatok tekintetében a kompetenciákra vonatkozóan  meghatározott követelményeken alapuló, jóváhagyott képzési program elvégzése</v>
      </c>
      <c r="N13" s="156"/>
      <c r="O13" s="156"/>
      <c r="P13" s="156"/>
      <c r="Q13" s="156"/>
      <c r="R13" s="156"/>
      <c r="S13" s="156"/>
      <c r="T13" s="156"/>
      <c r="U13" s="156"/>
      <c r="V13" s="157"/>
    </row>
    <row r="14" spans="1:23" x14ac:dyDescent="0.25">
      <c r="B14" s="9"/>
      <c r="C14" s="10"/>
      <c r="D14" s="10"/>
      <c r="E14" s="10"/>
      <c r="F14" s="10"/>
      <c r="G14" s="10"/>
      <c r="H14" s="10"/>
      <c r="I14" s="10"/>
      <c r="J14" s="10"/>
      <c r="K14" s="11"/>
      <c r="M14" s="158"/>
      <c r="N14" s="159"/>
      <c r="O14" s="159"/>
      <c r="P14" s="159"/>
      <c r="Q14" s="159"/>
      <c r="R14" s="159"/>
      <c r="S14" s="159"/>
      <c r="T14" s="159"/>
      <c r="U14" s="159"/>
      <c r="V14" s="160"/>
    </row>
    <row r="15" spans="1:23" x14ac:dyDescent="0.25">
      <c r="M15" s="161"/>
      <c r="N15" s="162"/>
      <c r="O15" s="162"/>
      <c r="P15" s="162"/>
      <c r="Q15" s="162"/>
      <c r="R15" s="162"/>
      <c r="S15" s="162"/>
      <c r="T15" s="162"/>
      <c r="U15" s="162"/>
      <c r="V15" s="163"/>
    </row>
    <row r="16" spans="1:23" ht="15.75" x14ac:dyDescent="0.25">
      <c r="B16" s="125" t="s">
        <v>37</v>
      </c>
      <c r="C16" s="125"/>
      <c r="D16" s="125"/>
      <c r="E16" s="125"/>
      <c r="G16" s="125" t="s">
        <v>43</v>
      </c>
      <c r="H16" s="125"/>
      <c r="I16" s="125" t="s">
        <v>58</v>
      </c>
      <c r="J16" s="125"/>
      <c r="K16" s="125"/>
      <c r="M16" s="155" t="str">
        <f>IF(OR(W7)=TRUE,"",IF(W6=TRUE,"Legalább 180 nap hajózási idő teljesítése matrózként töltött szolgálat végzéséhez szükséges képesítés birtokában","és"))</f>
        <v>és</v>
      </c>
      <c r="N16" s="156"/>
      <c r="O16" s="156"/>
      <c r="P16" s="156"/>
      <c r="Q16" s="156"/>
      <c r="R16" s="156"/>
      <c r="S16" s="156"/>
      <c r="T16" s="156"/>
      <c r="U16" s="156"/>
      <c r="V16" s="157"/>
    </row>
    <row r="17" spans="2:29" ht="15" customHeight="1" x14ac:dyDescent="0.25">
      <c r="B17" s="273" t="s">
        <v>163</v>
      </c>
      <c r="C17" s="273" t="s">
        <v>164</v>
      </c>
      <c r="D17" s="273" t="s">
        <v>165</v>
      </c>
      <c r="E17" s="273" t="s">
        <v>166</v>
      </c>
      <c r="G17" s="258">
        <f>SUM(B30:E30)</f>
        <v>113900</v>
      </c>
      <c r="H17" s="312"/>
      <c r="I17" s="131">
        <f>Kezdőlap!E43</f>
        <v>9700</v>
      </c>
      <c r="J17" s="313"/>
      <c r="K17" s="313"/>
      <c r="M17" s="158"/>
      <c r="N17" s="159"/>
      <c r="O17" s="159"/>
      <c r="P17" s="159"/>
      <c r="Q17" s="159"/>
      <c r="R17" s="159"/>
      <c r="S17" s="159"/>
      <c r="T17" s="159"/>
      <c r="U17" s="159"/>
      <c r="V17" s="160"/>
    </row>
    <row r="18" spans="2:29" x14ac:dyDescent="0.25">
      <c r="B18" s="273"/>
      <c r="C18" s="273"/>
      <c r="D18" s="273"/>
      <c r="E18" s="273"/>
      <c r="G18" s="312"/>
      <c r="H18" s="312"/>
      <c r="I18" s="313"/>
      <c r="J18" s="313"/>
      <c r="K18" s="313"/>
      <c r="M18" s="161"/>
      <c r="N18" s="162"/>
      <c r="O18" s="162"/>
      <c r="P18" s="162"/>
      <c r="Q18" s="162"/>
      <c r="R18" s="162"/>
      <c r="S18" s="162"/>
      <c r="T18" s="162"/>
      <c r="U18" s="162"/>
      <c r="V18" s="163"/>
    </row>
    <row r="19" spans="2:29" x14ac:dyDescent="0.25">
      <c r="B19" s="273"/>
      <c r="C19" s="273"/>
      <c r="D19" s="273"/>
      <c r="E19" s="273"/>
      <c r="G19" s="312"/>
      <c r="H19" s="312"/>
      <c r="I19" s="313"/>
      <c r="J19" s="313"/>
      <c r="K19" s="313"/>
      <c r="M19" s="188" t="str">
        <f>IF(OR(W6:W7)=TRUE,"","Legalább 270 nap hajózási idő teljesítése")</f>
        <v>Legalább 270 nap hajózási idő teljesítése</v>
      </c>
      <c r="N19" s="189"/>
      <c r="O19" s="189"/>
      <c r="P19" s="189"/>
      <c r="Q19" s="189"/>
      <c r="R19" s="189"/>
      <c r="S19" s="189"/>
      <c r="T19" s="189"/>
      <c r="U19" s="189"/>
      <c r="V19" s="190"/>
    </row>
    <row r="20" spans="2:29" x14ac:dyDescent="0.25">
      <c r="B20" s="273"/>
      <c r="C20" s="273"/>
      <c r="D20" s="273"/>
      <c r="E20" s="273"/>
      <c r="G20" s="312"/>
      <c r="H20" s="312"/>
      <c r="I20" s="313"/>
      <c r="J20" s="313"/>
      <c r="K20" s="313"/>
      <c r="M20" s="315" t="str">
        <f>IF(OR(W6:W7)=TRUE,"","és")</f>
        <v>és</v>
      </c>
      <c r="N20" s="316"/>
      <c r="O20" s="316"/>
      <c r="P20" s="316"/>
      <c r="Q20" s="316"/>
      <c r="R20" s="316"/>
      <c r="S20" s="316"/>
      <c r="T20" s="316"/>
      <c r="U20" s="316"/>
      <c r="V20" s="317"/>
    </row>
    <row r="21" spans="2:29" x14ac:dyDescent="0.25">
      <c r="B21" s="273"/>
      <c r="C21" s="273"/>
      <c r="D21" s="273"/>
      <c r="E21" s="273"/>
      <c r="G21" s="312"/>
      <c r="H21" s="312"/>
      <c r="I21" s="313"/>
      <c r="J21" s="313"/>
      <c r="K21" s="313"/>
      <c r="M21" s="337"/>
      <c r="N21" s="314"/>
      <c r="O21" s="314"/>
      <c r="P21" s="314"/>
      <c r="Q21" s="314"/>
      <c r="R21" s="314"/>
      <c r="S21" s="314"/>
      <c r="T21" s="314"/>
      <c r="U21" s="314"/>
      <c r="V21" s="338"/>
    </row>
    <row r="22" spans="2:29" x14ac:dyDescent="0.25">
      <c r="B22" s="273"/>
      <c r="C22" s="273"/>
      <c r="D22" s="273"/>
      <c r="E22" s="273"/>
      <c r="G22" s="312"/>
      <c r="H22" s="312"/>
      <c r="I22" s="313"/>
      <c r="J22" s="313"/>
      <c r="K22" s="313"/>
      <c r="M22" s="318"/>
      <c r="N22" s="319"/>
      <c r="O22" s="319"/>
      <c r="P22" s="319"/>
      <c r="Q22" s="319"/>
      <c r="R22" s="319"/>
      <c r="S22" s="319"/>
      <c r="T22" s="319"/>
      <c r="U22" s="319"/>
      <c r="V22" s="320"/>
    </row>
    <row r="23" spans="2:29" x14ac:dyDescent="0.25">
      <c r="B23" s="273"/>
      <c r="C23" s="273"/>
      <c r="D23" s="273"/>
      <c r="E23" s="273"/>
      <c r="G23" s="312"/>
      <c r="H23" s="312"/>
      <c r="I23" s="313"/>
      <c r="J23" s="313"/>
      <c r="K23" s="313"/>
      <c r="M23" s="155" t="str">
        <f>IF(OR(W6:W7)=TRUE,"","A hajózási vizsgaközpont által vagy a jóváhagyott képzési programmal rendelkező képzőszerv által lebonyolított képesítő vizsga sikeres letétele az üzemeltetési szinthez tartozó kompetenciák meglétének ellenőrzésére.")</f>
        <v>A hajózási vizsgaközpont által vagy a jóváhagyott képzési programmal rendelkező képzőszerv által lebonyolított képesítő vizsga sikeres letétele az üzemeltetési szinthez tartozó kompetenciák meglétének ellenőrzésére.</v>
      </c>
      <c r="N23" s="156"/>
      <c r="O23" s="156"/>
      <c r="P23" s="156"/>
      <c r="Q23" s="156"/>
      <c r="R23" s="156"/>
      <c r="S23" s="156"/>
      <c r="T23" s="156"/>
      <c r="U23" s="156"/>
      <c r="V23" s="157"/>
    </row>
    <row r="24" spans="2:29" x14ac:dyDescent="0.25">
      <c r="B24" s="273"/>
      <c r="C24" s="273"/>
      <c r="D24" s="273"/>
      <c r="E24" s="273"/>
      <c r="G24" s="312"/>
      <c r="H24" s="312"/>
      <c r="I24" s="313"/>
      <c r="J24" s="313"/>
      <c r="K24" s="313"/>
      <c r="M24" s="158"/>
      <c r="N24" s="159"/>
      <c r="O24" s="159"/>
      <c r="P24" s="159"/>
      <c r="Q24" s="159"/>
      <c r="R24" s="159"/>
      <c r="S24" s="159"/>
      <c r="T24" s="159"/>
      <c r="U24" s="159"/>
      <c r="V24" s="160"/>
    </row>
    <row r="25" spans="2:29" x14ac:dyDescent="0.25">
      <c r="B25" s="273"/>
      <c r="C25" s="273"/>
      <c r="D25" s="273"/>
      <c r="E25" s="273"/>
      <c r="G25" s="312"/>
      <c r="H25" s="312"/>
      <c r="I25" s="313"/>
      <c r="J25" s="313"/>
      <c r="K25" s="313"/>
      <c r="M25" s="161"/>
      <c r="N25" s="162"/>
      <c r="O25" s="162"/>
      <c r="P25" s="162"/>
      <c r="Q25" s="162"/>
      <c r="R25" s="162"/>
      <c r="S25" s="162"/>
      <c r="T25" s="162"/>
      <c r="U25" s="162"/>
      <c r="V25" s="163"/>
    </row>
    <row r="26" spans="2:29" x14ac:dyDescent="0.25">
      <c r="B26" s="273"/>
      <c r="C26" s="273"/>
      <c r="D26" s="273"/>
      <c r="E26" s="273"/>
    </row>
    <row r="27" spans="2:29" ht="15" customHeight="1" x14ac:dyDescent="0.25">
      <c r="B27" s="273"/>
      <c r="C27" s="273"/>
      <c r="D27" s="273"/>
      <c r="E27" s="273"/>
      <c r="M27" s="331" t="str">
        <f>IF(W7=TRUE,"A nem UNIÓs képesített matróz képesítés birtokában vizsga nélkül az alábbiak figyelembevételével","")</f>
        <v/>
      </c>
      <c r="N27" s="332"/>
      <c r="O27" s="332"/>
      <c r="P27" s="332"/>
      <c r="Q27" s="332"/>
      <c r="R27" s="332"/>
      <c r="S27" s="332"/>
      <c r="T27" s="332"/>
      <c r="U27" s="332"/>
      <c r="V27" s="333"/>
    </row>
    <row r="28" spans="2:29" x14ac:dyDescent="0.25">
      <c r="B28" s="273"/>
      <c r="C28" s="273"/>
      <c r="D28" s="273"/>
      <c r="E28" s="273"/>
      <c r="M28" s="334"/>
      <c r="N28" s="335"/>
      <c r="O28" s="335"/>
      <c r="P28" s="335"/>
      <c r="Q28" s="335"/>
      <c r="R28" s="335"/>
      <c r="S28" s="335"/>
      <c r="T28" s="335"/>
      <c r="U28" s="335"/>
      <c r="V28" s="336"/>
      <c r="Y28" s="296" t="s">
        <v>280</v>
      </c>
      <c r="Z28" s="297"/>
      <c r="AA28" s="297"/>
      <c r="AB28" s="297"/>
      <c r="AC28" s="298"/>
    </row>
    <row r="29" spans="2:29" ht="18.75" customHeight="1" x14ac:dyDescent="0.25">
      <c r="B29" s="43" t="str">
        <f>IF(W7=TRUE,"Felmentés","Vizsga")</f>
        <v>Vizsga</v>
      </c>
      <c r="C29" s="43" t="str">
        <f>IF(W7=TRUE,"Felmentés","Vizsga")</f>
        <v>Vizsga</v>
      </c>
      <c r="D29" s="43" t="str">
        <f>IF(W7=TRUE,"Felmentés","Vizsga")</f>
        <v>Vizsga</v>
      </c>
      <c r="E29" s="43" t="str">
        <f>IF(W7=TRUE,"Felmentés",IF(OR(W8)=TRUE,"Felmentés","Vizsga"))</f>
        <v>Vizsga</v>
      </c>
      <c r="M29" s="155" t="str">
        <f>IF(W7=TRUE,"Az előírt hajózási idő helyett legfeljebb 360 nap hajózási idővel kevesebb idő elegendő, ha a kérelmező a hajózási hatóság által elismert, egy gyakorlati navigációs munkát is magában foglaló speciális belvízi hajózási képzés sikeres elvégzését igazolja","")</f>
        <v/>
      </c>
      <c r="N29" s="156"/>
      <c r="O29" s="156"/>
      <c r="P29" s="156"/>
      <c r="Q29" s="156"/>
      <c r="R29" s="156"/>
      <c r="S29" s="156"/>
      <c r="T29" s="156"/>
      <c r="U29" s="156"/>
      <c r="V29" s="157"/>
      <c r="Y29" s="299"/>
      <c r="Z29" s="321"/>
      <c r="AA29" s="321"/>
      <c r="AB29" s="321"/>
      <c r="AC29" s="301"/>
    </row>
    <row r="30" spans="2:29" ht="15.75" x14ac:dyDescent="0.25">
      <c r="B30" s="39">
        <f>IF(OR(W6:W7)=TRUE,0,Kezdőlap!E37)</f>
        <v>19400</v>
      </c>
      <c r="C30" s="39">
        <f>IF(OR(W6:W7)=TRUE,0,Kezdőlap!E40)</f>
        <v>31500</v>
      </c>
      <c r="D30" s="39">
        <f>IF(OR(W6:W7)=TRUE,0,Kezdőlap!E40)</f>
        <v>31500</v>
      </c>
      <c r="E30" s="39">
        <f>IF(OR(W6:W8)=TRUE,0,Kezdőlap!E40)</f>
        <v>31500</v>
      </c>
      <c r="M30" s="158"/>
      <c r="N30" s="159"/>
      <c r="O30" s="159"/>
      <c r="P30" s="159"/>
      <c r="Q30" s="159"/>
      <c r="R30" s="159"/>
      <c r="S30" s="159"/>
      <c r="T30" s="159"/>
      <c r="U30" s="159"/>
      <c r="V30" s="160"/>
      <c r="Y30" s="299"/>
      <c r="Z30" s="321"/>
      <c r="AA30" s="321"/>
      <c r="AB30" s="321"/>
      <c r="AC30" s="301"/>
    </row>
    <row r="31" spans="2:29" x14ac:dyDescent="0.25">
      <c r="M31" s="161"/>
      <c r="N31" s="162"/>
      <c r="O31" s="162"/>
      <c r="P31" s="162"/>
      <c r="Q31" s="162"/>
      <c r="R31" s="162"/>
      <c r="S31" s="162"/>
      <c r="T31" s="162"/>
      <c r="U31" s="162"/>
      <c r="V31" s="163"/>
      <c r="Y31" s="299"/>
      <c r="Z31" s="321"/>
      <c r="AA31" s="321"/>
      <c r="AB31" s="321"/>
      <c r="AC31" s="301"/>
    </row>
    <row r="32" spans="2:29" x14ac:dyDescent="0.25">
      <c r="M32" s="155" t="str">
        <f>IF(W7=TRUE,"Az elfogadható kevesebb idő mértéke legfeljebb a speciális képzés időtartamának megfelelő lehet. A 2022. április 19. napja előtt megkezdett gyakorlatszerzésre fordított időt el kell fogadni.","")</f>
        <v/>
      </c>
      <c r="N32" s="156"/>
      <c r="O32" s="156"/>
      <c r="P32" s="156"/>
      <c r="Q32" s="156"/>
      <c r="R32" s="156"/>
      <c r="S32" s="156"/>
      <c r="T32" s="156"/>
      <c r="U32" s="156"/>
      <c r="V32" s="157"/>
      <c r="Y32" s="299"/>
      <c r="Z32" s="321"/>
      <c r="AA32" s="321"/>
      <c r="AB32" s="321"/>
      <c r="AC32" s="301"/>
    </row>
    <row r="33" spans="2:29" ht="15" customHeight="1" x14ac:dyDescent="0.25">
      <c r="B33" s="213" t="s">
        <v>169</v>
      </c>
      <c r="C33" s="214"/>
      <c r="D33" s="214"/>
      <c r="E33" s="214"/>
      <c r="F33" s="214"/>
      <c r="G33" s="214"/>
      <c r="H33" s="214"/>
      <c r="I33" s="214"/>
      <c r="J33" s="214"/>
      <c r="K33" s="215"/>
      <c r="L33" s="19"/>
      <c r="M33" s="161"/>
      <c r="N33" s="162"/>
      <c r="O33" s="162"/>
      <c r="P33" s="162"/>
      <c r="Q33" s="162"/>
      <c r="R33" s="162"/>
      <c r="S33" s="162"/>
      <c r="T33" s="162"/>
      <c r="U33" s="162"/>
      <c r="V33" s="163"/>
      <c r="Y33" s="302"/>
      <c r="Z33" s="303"/>
      <c r="AA33" s="303"/>
      <c r="AB33" s="303"/>
      <c r="AC33" s="304"/>
    </row>
    <row r="34" spans="2:29" x14ac:dyDescent="0.25">
      <c r="B34" s="216"/>
      <c r="C34" s="217"/>
      <c r="D34" s="217"/>
      <c r="E34" s="217"/>
      <c r="F34" s="217"/>
      <c r="G34" s="217"/>
      <c r="H34" s="217"/>
      <c r="I34" s="217"/>
      <c r="J34" s="217"/>
      <c r="K34" s="218"/>
      <c r="L34" s="19"/>
    </row>
    <row r="35" spans="2:29" x14ac:dyDescent="0.25">
      <c r="B35" s="219"/>
      <c r="C35" s="220"/>
      <c r="D35" s="220"/>
      <c r="E35" s="220"/>
      <c r="F35" s="220"/>
      <c r="G35" s="220"/>
      <c r="H35" s="220"/>
      <c r="I35" s="220"/>
      <c r="J35" s="220"/>
      <c r="K35" s="221"/>
    </row>
  </sheetData>
  <sheetProtection sheet="1" objects="1" scenarios="1" selectLockedCells="1"/>
  <mergeCells count="28">
    <mergeCell ref="Y28:AC33"/>
    <mergeCell ref="B33:K35"/>
    <mergeCell ref="M27:V28"/>
    <mergeCell ref="M32:V33"/>
    <mergeCell ref="G16:H16"/>
    <mergeCell ref="I16:K16"/>
    <mergeCell ref="G17:H25"/>
    <mergeCell ref="I17:K25"/>
    <mergeCell ref="M20:V22"/>
    <mergeCell ref="M23:V25"/>
    <mergeCell ref="M29:V31"/>
    <mergeCell ref="B17:B28"/>
    <mergeCell ref="E17:E28"/>
    <mergeCell ref="D17:D28"/>
    <mergeCell ref="C17:C28"/>
    <mergeCell ref="B16:E16"/>
    <mergeCell ref="M16:V18"/>
    <mergeCell ref="M19:V19"/>
    <mergeCell ref="M7:V7"/>
    <mergeCell ref="M8:V8"/>
    <mergeCell ref="M9:V10"/>
    <mergeCell ref="M11:V11"/>
    <mergeCell ref="M12:V12"/>
    <mergeCell ref="B4:K5"/>
    <mergeCell ref="B6:K6"/>
    <mergeCell ref="M4:V5"/>
    <mergeCell ref="M6:V6"/>
    <mergeCell ref="M13:V15"/>
  </mergeCells>
  <conditionalFormatting sqref="B29:E29">
    <cfRule type="containsText" dxfId="43" priority="1" operator="containsText" text="Vizsga">
      <formula>NOT(ISERROR(SEARCH("Vizsga",B29)))</formula>
    </cfRule>
  </conditionalFormatting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6865" r:id="rId3" name="Check Box 1">
              <controlPr defaultSize="0" autoFill="0" autoLine="0" autoPict="0">
                <anchor moveWithCells="1">
                  <from>
                    <xdr:col>1</xdr:col>
                    <xdr:colOff>57150</xdr:colOff>
                    <xdr:row>6</xdr:row>
                    <xdr:rowOff>142875</xdr:rowOff>
                  </from>
                  <to>
                    <xdr:col>9</xdr:col>
                    <xdr:colOff>9525</xdr:colOff>
                    <xdr:row>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66" r:id="rId4" name="Check Box 2">
              <controlPr defaultSize="0" autoFill="0" autoLine="0" autoPict="0">
                <anchor moveWithCells="1">
                  <from>
                    <xdr:col>1</xdr:col>
                    <xdr:colOff>57150</xdr:colOff>
                    <xdr:row>8</xdr:row>
                    <xdr:rowOff>57150</xdr:rowOff>
                  </from>
                  <to>
                    <xdr:col>9</xdr:col>
                    <xdr:colOff>0</xdr:colOff>
                    <xdr:row>10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67" r:id="rId5" name="Check Box 3">
              <controlPr defaultSize="0" autoFill="0" autoLine="0" autoPict="0">
                <anchor moveWithCells="1">
                  <from>
                    <xdr:col>1</xdr:col>
                    <xdr:colOff>57150</xdr:colOff>
                    <xdr:row>10</xdr:row>
                    <xdr:rowOff>171450</xdr:rowOff>
                  </from>
                  <to>
                    <xdr:col>9</xdr:col>
                    <xdr:colOff>428625</xdr:colOff>
                    <xdr:row>13</xdr:row>
                    <xdr:rowOff>66675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C92B62-E41D-401A-97F2-567506252E03}">
  <sheetPr codeName="Munka23">
    <tabColor rgb="FFFFC000"/>
  </sheetPr>
  <dimension ref="A1:AC34"/>
  <sheetViews>
    <sheetView showGridLines="0" showRowColHeaders="0" workbookViewId="0">
      <selection activeCell="J2" sqref="J2"/>
    </sheetView>
  </sheetViews>
  <sheetFormatPr defaultRowHeight="15" x14ac:dyDescent="0.25"/>
  <cols>
    <col min="2" max="2" width="11.28515625" customWidth="1"/>
    <col min="3" max="3" width="10.28515625" customWidth="1"/>
    <col min="4" max="4" width="10.42578125" customWidth="1"/>
    <col min="5" max="5" width="11.5703125" customWidth="1"/>
    <col min="23" max="23" width="9.140625" style="66" hidden="1" customWidth="1"/>
  </cols>
  <sheetData>
    <row r="1" spans="1:23" x14ac:dyDescent="0.25">
      <c r="A1" s="48"/>
      <c r="B1" s="48"/>
      <c r="C1" s="48"/>
    </row>
    <row r="2" spans="1:23" x14ac:dyDescent="0.25">
      <c r="A2" s="48"/>
      <c r="B2" s="48"/>
      <c r="C2" s="48"/>
    </row>
    <row r="4" spans="1:23" x14ac:dyDescent="0.25">
      <c r="B4" s="248" t="s">
        <v>171</v>
      </c>
      <c r="C4" s="249"/>
      <c r="D4" s="249"/>
      <c r="E4" s="249"/>
      <c r="F4" s="249"/>
      <c r="G4" s="249"/>
      <c r="H4" s="249"/>
      <c r="I4" s="249"/>
      <c r="J4" s="249"/>
      <c r="K4" s="250"/>
      <c r="M4" s="132" t="s">
        <v>254</v>
      </c>
      <c r="N4" s="132"/>
      <c r="O4" s="132"/>
      <c r="P4" s="132"/>
      <c r="Q4" s="132"/>
      <c r="R4" s="132"/>
      <c r="S4" s="132"/>
      <c r="T4" s="132"/>
      <c r="U4" s="132"/>
      <c r="V4" s="132"/>
    </row>
    <row r="5" spans="1:23" x14ac:dyDescent="0.25">
      <c r="B5" s="251"/>
      <c r="C5" s="252"/>
      <c r="D5" s="252"/>
      <c r="E5" s="252"/>
      <c r="F5" s="252"/>
      <c r="G5" s="252"/>
      <c r="H5" s="252"/>
      <c r="I5" s="252"/>
      <c r="J5" s="252"/>
      <c r="K5" s="253"/>
      <c r="M5" s="132"/>
      <c r="N5" s="132"/>
      <c r="O5" s="132"/>
      <c r="P5" s="132"/>
      <c r="Q5" s="132"/>
      <c r="R5" s="132"/>
      <c r="S5" s="132"/>
      <c r="T5" s="132"/>
      <c r="U5" s="132"/>
      <c r="V5" s="132"/>
    </row>
    <row r="6" spans="1:23" x14ac:dyDescent="0.25">
      <c r="B6" s="13"/>
      <c r="C6" s="14"/>
      <c r="D6" s="14"/>
      <c r="E6" s="14"/>
      <c r="F6" s="14"/>
      <c r="G6" s="14"/>
      <c r="H6" s="14"/>
      <c r="I6" s="14"/>
      <c r="J6" s="14"/>
      <c r="K6" s="15"/>
      <c r="M6" s="148" t="str">
        <f>IF(OR(W6,W8)=TRUE,"Képesítés bejegyzési kérelem","Vizsgajelentkezési/képesítés bejegyzési kérelem")</f>
        <v>Vizsgajelentkezési/képesítés bejegyzési kérelem</v>
      </c>
      <c r="N6" s="148"/>
      <c r="O6" s="148"/>
      <c r="P6" s="148"/>
      <c r="Q6" s="148"/>
      <c r="R6" s="148"/>
      <c r="S6" s="148"/>
      <c r="T6" s="148"/>
      <c r="U6" s="148"/>
      <c r="V6" s="148"/>
      <c r="W6" s="66" t="b">
        <v>0</v>
      </c>
    </row>
    <row r="7" spans="1:23" x14ac:dyDescent="0.25">
      <c r="B7" s="6"/>
      <c r="C7" s="7"/>
      <c r="D7" s="7"/>
      <c r="E7" s="7"/>
      <c r="F7" s="7"/>
      <c r="G7" s="7"/>
      <c r="H7" s="7"/>
      <c r="I7" s="7"/>
      <c r="J7" s="7"/>
      <c r="K7" s="8"/>
      <c r="M7" s="148" t="s">
        <v>170</v>
      </c>
      <c r="N7" s="148"/>
      <c r="O7" s="148"/>
      <c r="P7" s="148"/>
      <c r="Q7" s="148"/>
      <c r="R7" s="148"/>
      <c r="S7" s="148"/>
      <c r="T7" s="148"/>
      <c r="U7" s="148"/>
      <c r="V7" s="148"/>
      <c r="W7" s="66" t="b">
        <v>0</v>
      </c>
    </row>
    <row r="8" spans="1:23" x14ac:dyDescent="0.25">
      <c r="B8" s="6"/>
      <c r="C8" s="7"/>
      <c r="D8" s="7"/>
      <c r="E8" s="7"/>
      <c r="F8" s="7"/>
      <c r="G8" s="7"/>
      <c r="H8" s="7"/>
      <c r="I8" s="7"/>
      <c r="J8" s="7"/>
      <c r="K8" s="8"/>
      <c r="M8" s="148" t="s">
        <v>158</v>
      </c>
      <c r="N8" s="148"/>
      <c r="O8" s="148"/>
      <c r="P8" s="148"/>
      <c r="Q8" s="148"/>
      <c r="R8" s="148"/>
      <c r="S8" s="148"/>
      <c r="T8" s="148"/>
      <c r="U8" s="148"/>
      <c r="V8" s="148"/>
      <c r="W8" s="66" t="b">
        <v>0</v>
      </c>
    </row>
    <row r="9" spans="1:23" x14ac:dyDescent="0.25">
      <c r="B9" s="6"/>
      <c r="C9" s="7"/>
      <c r="D9" s="7"/>
      <c r="E9" s="7"/>
      <c r="F9" s="7"/>
      <c r="G9" s="7"/>
      <c r="H9" s="7"/>
      <c r="I9" s="7"/>
      <c r="J9" s="7"/>
      <c r="K9" s="8"/>
      <c r="M9" s="257" t="s">
        <v>155</v>
      </c>
      <c r="N9" s="257"/>
      <c r="O9" s="257"/>
      <c r="P9" s="257"/>
      <c r="Q9" s="257"/>
      <c r="R9" s="257"/>
      <c r="S9" s="257"/>
      <c r="T9" s="257"/>
      <c r="U9" s="257"/>
      <c r="V9" s="257"/>
      <c r="W9" s="66" t="b">
        <v>0</v>
      </c>
    </row>
    <row r="10" spans="1:23" x14ac:dyDescent="0.25">
      <c r="B10" s="6"/>
      <c r="C10" s="7"/>
      <c r="D10" s="7"/>
      <c r="E10" s="7"/>
      <c r="F10" s="7"/>
      <c r="G10" s="7"/>
      <c r="H10" s="7"/>
      <c r="I10" s="7"/>
      <c r="J10" s="7"/>
      <c r="K10" s="8"/>
      <c r="M10" s="257"/>
      <c r="N10" s="257"/>
      <c r="O10" s="257"/>
      <c r="P10" s="257"/>
      <c r="Q10" s="257"/>
      <c r="R10" s="257"/>
      <c r="S10" s="257"/>
      <c r="T10" s="257"/>
      <c r="U10" s="257"/>
      <c r="V10" s="257"/>
    </row>
    <row r="11" spans="1:23" x14ac:dyDescent="0.25">
      <c r="B11" s="6"/>
      <c r="C11" s="7"/>
      <c r="D11" s="7"/>
      <c r="E11" s="7"/>
      <c r="F11" s="7"/>
      <c r="G11" s="7"/>
      <c r="H11" s="7"/>
      <c r="I11" s="7"/>
      <c r="J11" s="7"/>
      <c r="K11" s="8"/>
      <c r="M11" s="148" t="s">
        <v>57</v>
      </c>
      <c r="N11" s="148"/>
      <c r="O11" s="148"/>
      <c r="P11" s="148"/>
      <c r="Q11" s="148"/>
      <c r="R11" s="148"/>
      <c r="S11" s="148"/>
      <c r="T11" s="148"/>
      <c r="U11" s="148"/>
      <c r="V11" s="148"/>
    </row>
    <row r="12" spans="1:23" x14ac:dyDescent="0.25">
      <c r="B12" s="6"/>
      <c r="C12" s="7"/>
      <c r="D12" s="7"/>
      <c r="E12" s="7"/>
      <c r="F12" s="7"/>
      <c r="G12" s="7"/>
      <c r="H12" s="7"/>
      <c r="I12" s="7"/>
      <c r="J12" s="7"/>
      <c r="K12" s="8"/>
      <c r="M12" s="191" t="s">
        <v>172</v>
      </c>
      <c r="N12" s="191"/>
      <c r="O12" s="191"/>
      <c r="P12" s="191"/>
      <c r="Q12" s="191"/>
      <c r="R12" s="191"/>
      <c r="S12" s="191"/>
      <c r="T12" s="191"/>
      <c r="U12" s="191"/>
      <c r="V12" s="191"/>
    </row>
    <row r="13" spans="1:23" ht="15.75" x14ac:dyDescent="0.25">
      <c r="B13" s="9"/>
      <c r="C13" s="10"/>
      <c r="D13" s="10"/>
      <c r="E13" s="10"/>
      <c r="F13" s="10"/>
      <c r="G13" s="10"/>
      <c r="H13" s="10"/>
      <c r="I13" s="10"/>
      <c r="J13" s="10"/>
      <c r="K13" s="11"/>
      <c r="M13" s="339" t="str">
        <f>IF(W8=TRUE,"","továbbá")</f>
        <v>továbbá</v>
      </c>
      <c r="N13" s="339"/>
      <c r="O13" s="339"/>
      <c r="P13" s="339"/>
      <c r="Q13" s="339"/>
      <c r="R13" s="339"/>
      <c r="S13" s="339"/>
      <c r="T13" s="339"/>
      <c r="U13" s="339"/>
      <c r="V13" s="339"/>
    </row>
    <row r="14" spans="1:23" x14ac:dyDescent="0.25">
      <c r="M14" s="257" t="str">
        <f>IF(OR(W6:W8)=TRUE,"","Legalább három év időtartamú, az üzemeltetési szintű feladatok tekintetében a kompetenciákra vonatkozóan  meghatározott követelményeken alapuló, jóváhagyott képzési program elvégzése")</f>
        <v>Legalább három év időtartamú, az üzemeltetési szintű feladatok tekintetében a kompetenciákra vonatkozóan  meghatározott követelményeken alapuló, jóváhagyott képzési program elvégzése</v>
      </c>
      <c r="N14" s="257"/>
      <c r="O14" s="257"/>
      <c r="P14" s="257"/>
      <c r="Q14" s="257"/>
      <c r="R14" s="257"/>
      <c r="S14" s="257"/>
      <c r="T14" s="257"/>
      <c r="U14" s="257"/>
      <c r="V14" s="257"/>
    </row>
    <row r="15" spans="1:23" ht="15.75" x14ac:dyDescent="0.25">
      <c r="B15" s="125" t="s">
        <v>37</v>
      </c>
      <c r="C15" s="125"/>
      <c r="D15" s="125"/>
      <c r="E15" s="125"/>
      <c r="G15" s="125" t="s">
        <v>43</v>
      </c>
      <c r="H15" s="125"/>
      <c r="I15" s="125" t="s">
        <v>58</v>
      </c>
      <c r="J15" s="125"/>
      <c r="K15" s="125"/>
      <c r="M15" s="257"/>
      <c r="N15" s="257"/>
      <c r="O15" s="257"/>
      <c r="P15" s="257"/>
      <c r="Q15" s="257"/>
      <c r="R15" s="257"/>
      <c r="S15" s="257"/>
      <c r="T15" s="257"/>
      <c r="U15" s="257"/>
      <c r="V15" s="257"/>
    </row>
    <row r="16" spans="1:23" ht="15" customHeight="1" x14ac:dyDescent="0.25">
      <c r="B16" s="273" t="s">
        <v>163</v>
      </c>
      <c r="C16" s="273" t="s">
        <v>164</v>
      </c>
      <c r="D16" s="273" t="s">
        <v>165</v>
      </c>
      <c r="E16" s="273" t="s">
        <v>166</v>
      </c>
      <c r="G16" s="258">
        <f>SUM(B29:E29)</f>
        <v>113900</v>
      </c>
      <c r="H16" s="312"/>
      <c r="I16" s="131">
        <f>Kezdőlap!E43</f>
        <v>9700</v>
      </c>
      <c r="J16" s="313"/>
      <c r="K16" s="313"/>
      <c r="M16" s="257"/>
      <c r="N16" s="257"/>
      <c r="O16" s="257"/>
      <c r="P16" s="257"/>
      <c r="Q16" s="257"/>
      <c r="R16" s="257"/>
      <c r="S16" s="257"/>
      <c r="T16" s="257"/>
      <c r="U16" s="257"/>
      <c r="V16" s="257"/>
    </row>
    <row r="17" spans="2:29" x14ac:dyDescent="0.25">
      <c r="B17" s="273"/>
      <c r="C17" s="273"/>
      <c r="D17" s="273"/>
      <c r="E17" s="273"/>
      <c r="G17" s="312"/>
      <c r="H17" s="312"/>
      <c r="I17" s="313"/>
      <c r="J17" s="313"/>
      <c r="K17" s="313"/>
      <c r="M17" s="257"/>
      <c r="N17" s="257"/>
      <c r="O17" s="257"/>
      <c r="P17" s="257"/>
      <c r="Q17" s="257"/>
      <c r="R17" s="257"/>
      <c r="S17" s="257"/>
      <c r="T17" s="257"/>
      <c r="U17" s="257"/>
      <c r="V17" s="257"/>
    </row>
    <row r="18" spans="2:29" x14ac:dyDescent="0.25">
      <c r="B18" s="273"/>
      <c r="C18" s="273"/>
      <c r="D18" s="273"/>
      <c r="E18" s="273"/>
      <c r="G18" s="312"/>
      <c r="H18" s="312"/>
      <c r="I18" s="313"/>
      <c r="J18" s="313"/>
      <c r="K18" s="313"/>
      <c r="M18" s="257" t="str">
        <f>IF(OR(W7:W8)=TRUE,"",IF(W6=TRUE,"Legalább 180 nap hajózási idő teljesítése képesített matrózként töltött szolgálat végzéséhez szükséges képesítés birtokában","és"))</f>
        <v>és</v>
      </c>
      <c r="N18" s="257"/>
      <c r="O18" s="257"/>
      <c r="P18" s="257"/>
      <c r="Q18" s="257"/>
      <c r="R18" s="257"/>
      <c r="S18" s="257"/>
      <c r="T18" s="257"/>
      <c r="U18" s="257"/>
      <c r="V18" s="257"/>
    </row>
    <row r="19" spans="2:29" x14ac:dyDescent="0.25">
      <c r="B19" s="273"/>
      <c r="C19" s="273"/>
      <c r="D19" s="273"/>
      <c r="E19" s="273"/>
      <c r="G19" s="312"/>
      <c r="H19" s="312"/>
      <c r="I19" s="313"/>
      <c r="J19" s="313"/>
      <c r="K19" s="313"/>
      <c r="M19" s="257"/>
      <c r="N19" s="257"/>
      <c r="O19" s="257"/>
      <c r="P19" s="257"/>
      <c r="Q19" s="257"/>
      <c r="R19" s="257"/>
      <c r="S19" s="257"/>
      <c r="T19" s="257"/>
      <c r="U19" s="257"/>
      <c r="V19" s="257"/>
    </row>
    <row r="20" spans="2:29" x14ac:dyDescent="0.25">
      <c r="B20" s="273"/>
      <c r="C20" s="273"/>
      <c r="D20" s="273"/>
      <c r="E20" s="273"/>
      <c r="G20" s="312"/>
      <c r="H20" s="312"/>
      <c r="I20" s="313"/>
      <c r="J20" s="313"/>
      <c r="K20" s="313"/>
      <c r="M20" s="148" t="str">
        <f>IF(OR(W6:W8)=TRUE,"","A jóváhagyott képzési program részeként legalább 360 nap hajózási idő")</f>
        <v>A jóváhagyott képzési program részeként legalább 360 nap hajózási idő</v>
      </c>
      <c r="N20" s="148"/>
      <c r="O20" s="148"/>
      <c r="P20" s="148"/>
      <c r="Q20" s="148"/>
      <c r="R20" s="148"/>
      <c r="S20" s="148"/>
      <c r="T20" s="148"/>
      <c r="U20" s="148"/>
      <c r="V20" s="148"/>
    </row>
    <row r="21" spans="2:29" x14ac:dyDescent="0.25">
      <c r="B21" s="273"/>
      <c r="C21" s="273"/>
      <c r="D21" s="273"/>
      <c r="E21" s="273"/>
      <c r="G21" s="312"/>
      <c r="H21" s="312"/>
      <c r="I21" s="313"/>
      <c r="J21" s="313"/>
      <c r="K21" s="313"/>
      <c r="M21" s="148" t="str">
        <f>IF(OR(W6:W8)=TRUE,"","és")</f>
        <v>és</v>
      </c>
      <c r="N21" s="148"/>
      <c r="O21" s="148"/>
      <c r="P21" s="148"/>
      <c r="Q21" s="148"/>
      <c r="R21" s="148"/>
      <c r="S21" s="148"/>
      <c r="T21" s="148"/>
      <c r="U21" s="148"/>
      <c r="V21" s="148"/>
    </row>
    <row r="22" spans="2:29" x14ac:dyDescent="0.25">
      <c r="B22" s="273"/>
      <c r="C22" s="273"/>
      <c r="D22" s="273"/>
      <c r="E22" s="273"/>
      <c r="G22" s="312"/>
      <c r="H22" s="312"/>
      <c r="I22" s="313"/>
      <c r="J22" s="313"/>
      <c r="K22" s="313"/>
      <c r="M22" s="148"/>
      <c r="N22" s="148"/>
      <c r="O22" s="148"/>
      <c r="P22" s="148"/>
      <c r="Q22" s="148"/>
      <c r="R22" s="148"/>
      <c r="S22" s="148"/>
      <c r="T22" s="148"/>
      <c r="U22" s="148"/>
      <c r="V22" s="148"/>
    </row>
    <row r="23" spans="2:29" x14ac:dyDescent="0.25">
      <c r="B23" s="273"/>
      <c r="C23" s="273"/>
      <c r="D23" s="273"/>
      <c r="E23" s="273"/>
      <c r="G23" s="312"/>
      <c r="H23" s="312"/>
      <c r="I23" s="313"/>
      <c r="J23" s="313"/>
      <c r="K23" s="313"/>
      <c r="M23" s="257" t="str">
        <f>IF(OR(W6,W8)=TRUE,"","A hajózási vizsgaközpont által lebonyolított képesítő vizsga sikeres letétele az üzemeltetési szinthez tartozó kompetenciák meglétének ellenőrzésére.")</f>
        <v>A hajózási vizsgaközpont által lebonyolított képesítő vizsga sikeres letétele az üzemeltetési szinthez tartozó kompetenciák meglétének ellenőrzésére.</v>
      </c>
      <c r="N23" s="257"/>
      <c r="O23" s="257"/>
      <c r="P23" s="257"/>
      <c r="Q23" s="257"/>
      <c r="R23" s="257"/>
      <c r="S23" s="257"/>
      <c r="T23" s="257"/>
      <c r="U23" s="257"/>
      <c r="V23" s="257"/>
    </row>
    <row r="24" spans="2:29" x14ac:dyDescent="0.25">
      <c r="B24" s="273"/>
      <c r="C24" s="273"/>
      <c r="D24" s="273"/>
      <c r="E24" s="273"/>
      <c r="G24" s="312"/>
      <c r="H24" s="312"/>
      <c r="I24" s="313"/>
      <c r="J24" s="313"/>
      <c r="K24" s="313"/>
      <c r="M24" s="257"/>
      <c r="N24" s="257"/>
      <c r="O24" s="257"/>
      <c r="P24" s="257"/>
      <c r="Q24" s="257"/>
      <c r="R24" s="257"/>
      <c r="S24" s="257"/>
      <c r="T24" s="257"/>
      <c r="U24" s="257"/>
      <c r="V24" s="257"/>
    </row>
    <row r="25" spans="2:29" x14ac:dyDescent="0.25">
      <c r="B25" s="273"/>
      <c r="C25" s="273"/>
      <c r="D25" s="273"/>
      <c r="E25" s="273"/>
      <c r="M25" s="257"/>
      <c r="N25" s="257"/>
      <c r="O25" s="257"/>
      <c r="P25" s="257"/>
      <c r="Q25" s="257"/>
      <c r="R25" s="257"/>
      <c r="S25" s="257"/>
      <c r="T25" s="257"/>
      <c r="U25" s="257"/>
      <c r="V25" s="257"/>
    </row>
    <row r="26" spans="2:29" x14ac:dyDescent="0.25">
      <c r="B26" s="273"/>
      <c r="C26" s="273"/>
      <c r="D26" s="273"/>
      <c r="E26" s="273"/>
    </row>
    <row r="27" spans="2:29" ht="15" customHeight="1" x14ac:dyDescent="0.25">
      <c r="B27" s="273"/>
      <c r="C27" s="273"/>
      <c r="D27" s="273"/>
      <c r="E27" s="273"/>
      <c r="M27" s="331" t="str">
        <f>IF(W8=TRUE,"A nem UNIÓs képesített matróz képesítés birtokában vizsga nélkül az alábbiak figyelembevételével","")</f>
        <v/>
      </c>
      <c r="N27" s="332"/>
      <c r="O27" s="332"/>
      <c r="P27" s="332"/>
      <c r="Q27" s="332"/>
      <c r="R27" s="332"/>
      <c r="S27" s="332"/>
      <c r="T27" s="332"/>
      <c r="U27" s="332"/>
      <c r="V27" s="333"/>
    </row>
    <row r="28" spans="2:29" ht="15.75" x14ac:dyDescent="0.25">
      <c r="B28" s="43" t="str">
        <f>IF(OR(W8,W6)=TRUE,"Felmentés","Vizsga")</f>
        <v>Vizsga</v>
      </c>
      <c r="C28" s="43" t="str">
        <f>IF(OR(W8,W6)=TRUE,"Felmentés","Vizsga")</f>
        <v>Vizsga</v>
      </c>
      <c r="D28" s="43" t="str">
        <f>IF(OR(W8,W6)=TRUE,"Felmentés","Vizsga")</f>
        <v>Vizsga</v>
      </c>
      <c r="E28" s="43" t="str">
        <f>IF(OR(W8,W9,W6)=TRUE,"Felmentés","Vizsga")</f>
        <v>Vizsga</v>
      </c>
      <c r="M28" s="334"/>
      <c r="N28" s="335"/>
      <c r="O28" s="335"/>
      <c r="P28" s="335"/>
      <c r="Q28" s="335"/>
      <c r="R28" s="335"/>
      <c r="S28" s="335"/>
      <c r="T28" s="335"/>
      <c r="U28" s="335"/>
      <c r="V28" s="336"/>
      <c r="Y28" s="296" t="s">
        <v>280</v>
      </c>
      <c r="Z28" s="297"/>
      <c r="AA28" s="297"/>
      <c r="AB28" s="297"/>
      <c r="AC28" s="298"/>
    </row>
    <row r="29" spans="2:29" ht="15.75" x14ac:dyDescent="0.25">
      <c r="B29" s="39">
        <f>IF(OR(W6,W8)=TRUE,0,Kezdőlap!E37)</f>
        <v>19400</v>
      </c>
      <c r="C29" s="39">
        <f>IF(OR(W6,W8)=TRUE,0,Kezdőlap!E40)</f>
        <v>31500</v>
      </c>
      <c r="D29" s="39">
        <f>IF(OR(W6,W8)=TRUE,0,Kezdőlap!E40)</f>
        <v>31500</v>
      </c>
      <c r="E29" s="39">
        <f>IF(OR(W6,W8,W9)=TRUE,0,Kezdőlap!E40)</f>
        <v>31500</v>
      </c>
      <c r="M29" s="155" t="str">
        <f>IF(W8=TRUE,"Az előírt hajózási idő helyett legfeljebb 360 nap hajózási idővel kevesebb idő elegendő, ha a kérelmező a hajózási hatóság által elismert, egy gyakorlati navigációs munkát is magában foglaló speciális belvízi hajózási képzés sikeres elvégzését igazolja","")</f>
        <v/>
      </c>
      <c r="N29" s="156"/>
      <c r="O29" s="156"/>
      <c r="P29" s="156"/>
      <c r="Q29" s="156"/>
      <c r="R29" s="156"/>
      <c r="S29" s="156"/>
      <c r="T29" s="156"/>
      <c r="U29" s="156"/>
      <c r="V29" s="157"/>
      <c r="Y29" s="299"/>
      <c r="Z29" s="321"/>
      <c r="AA29" s="321"/>
      <c r="AB29" s="321"/>
      <c r="AC29" s="301"/>
    </row>
    <row r="30" spans="2:29" x14ac:dyDescent="0.25">
      <c r="M30" s="158"/>
      <c r="N30" s="159"/>
      <c r="O30" s="159"/>
      <c r="P30" s="159"/>
      <c r="Q30" s="159"/>
      <c r="R30" s="159"/>
      <c r="S30" s="159"/>
      <c r="T30" s="159"/>
      <c r="U30" s="159"/>
      <c r="V30" s="160"/>
      <c r="Y30" s="299"/>
      <c r="Z30" s="321"/>
      <c r="AA30" s="321"/>
      <c r="AB30" s="321"/>
      <c r="AC30" s="301"/>
    </row>
    <row r="31" spans="2:29" x14ac:dyDescent="0.25">
      <c r="M31" s="161"/>
      <c r="N31" s="162"/>
      <c r="O31" s="162"/>
      <c r="P31" s="162"/>
      <c r="Q31" s="162"/>
      <c r="R31" s="162"/>
      <c r="S31" s="162"/>
      <c r="T31" s="162"/>
      <c r="U31" s="162"/>
      <c r="V31" s="163"/>
      <c r="Y31" s="299"/>
      <c r="Z31" s="321"/>
      <c r="AA31" s="321"/>
      <c r="AB31" s="321"/>
      <c r="AC31" s="301"/>
    </row>
    <row r="32" spans="2:29" x14ac:dyDescent="0.25">
      <c r="B32" s="213" t="s">
        <v>169</v>
      </c>
      <c r="C32" s="214"/>
      <c r="D32" s="214"/>
      <c r="E32" s="214"/>
      <c r="F32" s="214"/>
      <c r="G32" s="214"/>
      <c r="H32" s="214"/>
      <c r="I32" s="214"/>
      <c r="J32" s="214"/>
      <c r="K32" s="215"/>
      <c r="M32" s="155" t="str">
        <f>IF(W8=TRUE,"Az elfogadható kevesebb idő mértéke legfeljebb a speciális képzés időtartamának megfelelő lehet. A 2022. április 19. napja előtt megkezdett gyakorlatszerzésre fordított időt el kell fogadni.","")</f>
        <v/>
      </c>
      <c r="N32" s="156"/>
      <c r="O32" s="156"/>
      <c r="P32" s="156"/>
      <c r="Q32" s="156"/>
      <c r="R32" s="156"/>
      <c r="S32" s="156"/>
      <c r="T32" s="156"/>
      <c r="U32" s="156"/>
      <c r="V32" s="157"/>
      <c r="Y32" s="299"/>
      <c r="Z32" s="321"/>
      <c r="AA32" s="321"/>
      <c r="AB32" s="321"/>
      <c r="AC32" s="301"/>
    </row>
    <row r="33" spans="2:29" x14ac:dyDescent="0.25">
      <c r="B33" s="216"/>
      <c r="C33" s="217"/>
      <c r="D33" s="217"/>
      <c r="E33" s="217"/>
      <c r="F33" s="217"/>
      <c r="G33" s="217"/>
      <c r="H33" s="217"/>
      <c r="I33" s="217"/>
      <c r="J33" s="217"/>
      <c r="K33" s="218"/>
      <c r="M33" s="161"/>
      <c r="N33" s="162"/>
      <c r="O33" s="162"/>
      <c r="P33" s="162"/>
      <c r="Q33" s="162"/>
      <c r="R33" s="162"/>
      <c r="S33" s="162"/>
      <c r="T33" s="162"/>
      <c r="U33" s="162"/>
      <c r="V33" s="163"/>
      <c r="Y33" s="302"/>
      <c r="Z33" s="303"/>
      <c r="AA33" s="303"/>
      <c r="AB33" s="303"/>
      <c r="AC33" s="304"/>
    </row>
    <row r="34" spans="2:29" x14ac:dyDescent="0.25">
      <c r="B34" s="219"/>
      <c r="C34" s="220"/>
      <c r="D34" s="220"/>
      <c r="E34" s="220"/>
      <c r="F34" s="220"/>
      <c r="G34" s="220"/>
      <c r="H34" s="220"/>
      <c r="I34" s="220"/>
      <c r="J34" s="220"/>
      <c r="K34" s="221"/>
    </row>
  </sheetData>
  <sheetProtection sheet="1" objects="1" scenarios="1" selectLockedCells="1"/>
  <mergeCells count="28">
    <mergeCell ref="Y28:AC33"/>
    <mergeCell ref="M14:V17"/>
    <mergeCell ref="E16:E27"/>
    <mergeCell ref="D16:D27"/>
    <mergeCell ref="C16:C27"/>
    <mergeCell ref="B32:K34"/>
    <mergeCell ref="M29:V31"/>
    <mergeCell ref="M32:V33"/>
    <mergeCell ref="M23:V25"/>
    <mergeCell ref="M18:V19"/>
    <mergeCell ref="M20:V20"/>
    <mergeCell ref="M21:V22"/>
    <mergeCell ref="B16:B27"/>
    <mergeCell ref="B4:K5"/>
    <mergeCell ref="G16:H24"/>
    <mergeCell ref="I16:K24"/>
    <mergeCell ref="M27:V28"/>
    <mergeCell ref="M4:V5"/>
    <mergeCell ref="M6:V6"/>
    <mergeCell ref="B15:E15"/>
    <mergeCell ref="G15:H15"/>
    <mergeCell ref="I15:K15"/>
    <mergeCell ref="M7:V7"/>
    <mergeCell ref="M8:V8"/>
    <mergeCell ref="M9:V10"/>
    <mergeCell ref="M11:V11"/>
    <mergeCell ref="M12:V12"/>
    <mergeCell ref="M13:V13"/>
  </mergeCells>
  <conditionalFormatting sqref="B28:E28">
    <cfRule type="containsText" dxfId="42" priority="1" operator="containsText" text="Vizsga">
      <formula>NOT(ISERROR(SEARCH("Vizsga",B28)))</formula>
    </cfRule>
  </conditionalFormatting>
  <pageMargins left="0.7" right="0.7" top="0.75" bottom="0.75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7889" r:id="rId4" name="Check Box 1">
              <controlPr defaultSize="0" autoFill="0" autoLine="0" autoPict="0">
                <anchor moveWithCells="1">
                  <from>
                    <xdr:col>1</xdr:col>
                    <xdr:colOff>38100</xdr:colOff>
                    <xdr:row>5</xdr:row>
                    <xdr:rowOff>57150</xdr:rowOff>
                  </from>
                  <to>
                    <xdr:col>9</xdr:col>
                    <xdr:colOff>57150</xdr:colOff>
                    <xdr:row>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890" r:id="rId5" name="Check Box 2">
              <controlPr defaultSize="0" autoFill="0" autoLine="0" autoPict="0">
                <anchor moveWithCells="1">
                  <from>
                    <xdr:col>1</xdr:col>
                    <xdr:colOff>38100</xdr:colOff>
                    <xdr:row>6</xdr:row>
                    <xdr:rowOff>180975</xdr:rowOff>
                  </from>
                  <to>
                    <xdr:col>9</xdr:col>
                    <xdr:colOff>57150</xdr:colOff>
                    <xdr:row>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891" r:id="rId6" name="Check Box 3">
              <controlPr defaultSize="0" autoFill="0" autoLine="0" autoPict="0">
                <anchor moveWithCells="1">
                  <from>
                    <xdr:col>1</xdr:col>
                    <xdr:colOff>38100</xdr:colOff>
                    <xdr:row>8</xdr:row>
                    <xdr:rowOff>104775</xdr:rowOff>
                  </from>
                  <to>
                    <xdr:col>10</xdr:col>
                    <xdr:colOff>104775</xdr:colOff>
                    <xdr:row>11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892" r:id="rId7" name="Check Box 4">
              <controlPr defaultSize="0" autoFill="0" autoLine="0" autoPict="0">
                <anchor moveWithCells="1">
                  <from>
                    <xdr:col>1</xdr:col>
                    <xdr:colOff>38100</xdr:colOff>
                    <xdr:row>11</xdr:row>
                    <xdr:rowOff>28575</xdr:rowOff>
                  </from>
                  <to>
                    <xdr:col>11</xdr:col>
                    <xdr:colOff>142875</xdr:colOff>
                    <xdr:row>12</xdr:row>
                    <xdr:rowOff>180975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18C50B-8623-4B60-A804-67F3F42F5CF8}">
  <sheetPr codeName="Munka24">
    <tabColor rgb="FFFFC000"/>
  </sheetPr>
  <dimension ref="E2:AB36"/>
  <sheetViews>
    <sheetView showGridLines="0" showRowColHeaders="0" workbookViewId="0">
      <selection activeCell="AA1" sqref="AA1:AA1048576"/>
    </sheetView>
  </sheetViews>
  <sheetFormatPr defaultRowHeight="15" x14ac:dyDescent="0.25"/>
  <cols>
    <col min="1" max="1" width="3.42578125" customWidth="1"/>
    <col min="2" max="2" width="5.5703125" customWidth="1"/>
    <col min="4" max="4" width="3.85546875" customWidth="1"/>
    <col min="5" max="5" width="10.5703125" customWidth="1"/>
    <col min="6" max="6" width="11.42578125" customWidth="1"/>
    <col min="7" max="7" width="10.42578125" customWidth="1"/>
    <col min="8" max="8" width="10.28515625" customWidth="1"/>
    <col min="9" max="9" width="10.85546875" customWidth="1"/>
    <col min="10" max="10" width="10.5703125" customWidth="1"/>
    <col min="11" max="11" width="12.42578125" customWidth="1"/>
    <col min="27" max="27" width="6.85546875" hidden="1" customWidth="1"/>
    <col min="28" max="28" width="11.140625" customWidth="1"/>
  </cols>
  <sheetData>
    <row r="2" spans="5:27" x14ac:dyDescent="0.25">
      <c r="AA2" s="66"/>
    </row>
    <row r="3" spans="5:27" ht="14.25" customHeight="1" x14ac:dyDescent="0.25">
      <c r="E3" s="248" t="s">
        <v>173</v>
      </c>
      <c r="F3" s="249"/>
      <c r="G3" s="249"/>
      <c r="H3" s="249"/>
      <c r="I3" s="249"/>
      <c r="J3" s="249"/>
      <c r="K3" s="249"/>
      <c r="L3" s="249"/>
      <c r="M3" s="249"/>
      <c r="N3" s="249"/>
      <c r="O3" s="250"/>
      <c r="Q3" s="132" t="s">
        <v>181</v>
      </c>
      <c r="R3" s="132"/>
      <c r="S3" s="132"/>
      <c r="T3" s="132"/>
      <c r="U3" s="132"/>
      <c r="V3" s="132"/>
      <c r="W3" s="132"/>
      <c r="X3" s="132"/>
      <c r="Y3" s="132"/>
      <c r="Z3" s="132"/>
      <c r="AA3" s="66"/>
    </row>
    <row r="4" spans="5:27" ht="11.25" customHeight="1" x14ac:dyDescent="0.25">
      <c r="E4" s="251"/>
      <c r="F4" s="252"/>
      <c r="G4" s="252"/>
      <c r="H4" s="252"/>
      <c r="I4" s="252"/>
      <c r="J4" s="252"/>
      <c r="K4" s="252"/>
      <c r="L4" s="252"/>
      <c r="M4" s="252"/>
      <c r="N4" s="252"/>
      <c r="O4" s="253"/>
      <c r="Q4" s="132"/>
      <c r="R4" s="132"/>
      <c r="S4" s="132"/>
      <c r="T4" s="132"/>
      <c r="U4" s="132"/>
      <c r="V4" s="132"/>
      <c r="W4" s="132"/>
      <c r="X4" s="132"/>
      <c r="Y4" s="132"/>
      <c r="Z4" s="132"/>
      <c r="AA4" s="66"/>
    </row>
    <row r="5" spans="5:27" x14ac:dyDescent="0.25">
      <c r="E5" s="275" t="s">
        <v>52</v>
      </c>
      <c r="F5" s="276"/>
      <c r="G5" s="276"/>
      <c r="H5" s="276"/>
      <c r="I5" s="276"/>
      <c r="J5" s="276"/>
      <c r="K5" s="276"/>
      <c r="L5" s="276"/>
      <c r="M5" s="276"/>
      <c r="N5" s="276"/>
      <c r="O5" s="277"/>
      <c r="Q5" s="191" t="str">
        <f>IF(OR(AA5,AA6,AA11)=TRUE,"Okmánykiállítási kérelem","Vizsgajelentkezési/okmány kiállítási kérelem")</f>
        <v>Vizsgajelentkezési/okmány kiállítási kérelem</v>
      </c>
      <c r="R5" s="191"/>
      <c r="S5" s="191"/>
      <c r="T5" s="191"/>
      <c r="U5" s="191"/>
      <c r="V5" s="191"/>
      <c r="W5" s="191"/>
      <c r="X5" s="191"/>
      <c r="Y5" s="191"/>
      <c r="Z5" s="191"/>
      <c r="AA5" s="66" t="b">
        <v>0</v>
      </c>
    </row>
    <row r="6" spans="5:27" x14ac:dyDescent="0.25">
      <c r="E6" s="13"/>
      <c r="F6" s="14"/>
      <c r="G6" s="14"/>
      <c r="H6" s="14"/>
      <c r="I6" s="14"/>
      <c r="J6" s="14"/>
      <c r="K6" s="14"/>
      <c r="L6" s="14"/>
      <c r="M6" s="14"/>
      <c r="N6" s="14"/>
      <c r="O6" s="15"/>
      <c r="Q6" s="191" t="s">
        <v>57</v>
      </c>
      <c r="R6" s="191"/>
      <c r="S6" s="191"/>
      <c r="T6" s="191"/>
      <c r="U6" s="191"/>
      <c r="V6" s="191"/>
      <c r="W6" s="191"/>
      <c r="X6" s="191"/>
      <c r="Y6" s="191"/>
      <c r="Z6" s="191"/>
      <c r="AA6" s="66" t="b">
        <v>0</v>
      </c>
    </row>
    <row r="7" spans="5:27" x14ac:dyDescent="0.25">
      <c r="E7" s="6"/>
      <c r="F7" s="7"/>
      <c r="G7" s="7"/>
      <c r="H7" s="7"/>
      <c r="I7" s="7"/>
      <c r="J7" s="7"/>
      <c r="K7" s="7"/>
      <c r="L7" s="7"/>
      <c r="M7" s="7"/>
      <c r="N7" s="7"/>
      <c r="O7" s="8"/>
      <c r="Q7" s="191" t="s">
        <v>55</v>
      </c>
      <c r="R7" s="191"/>
      <c r="S7" s="191"/>
      <c r="T7" s="191"/>
      <c r="U7" s="191"/>
      <c r="V7" s="191"/>
      <c r="W7" s="191"/>
      <c r="X7" s="191"/>
      <c r="Y7" s="191"/>
      <c r="Z7" s="191"/>
      <c r="AA7" s="66" t="b">
        <v>0</v>
      </c>
    </row>
    <row r="8" spans="5:27" x14ac:dyDescent="0.25">
      <c r="E8" s="6"/>
      <c r="F8" s="7"/>
      <c r="G8" s="7"/>
      <c r="H8" s="7"/>
      <c r="I8" s="7"/>
      <c r="J8" s="7"/>
      <c r="K8" s="7"/>
      <c r="L8" s="7"/>
      <c r="M8" s="7"/>
      <c r="N8" s="7"/>
      <c r="O8" s="8"/>
      <c r="Q8" s="191" t="s">
        <v>158</v>
      </c>
      <c r="R8" s="191"/>
      <c r="S8" s="191"/>
      <c r="T8" s="191"/>
      <c r="U8" s="191"/>
      <c r="V8" s="191"/>
      <c r="W8" s="191"/>
      <c r="X8" s="191"/>
      <c r="Y8" s="191"/>
      <c r="Z8" s="191"/>
      <c r="AA8" s="66" t="b">
        <v>0</v>
      </c>
    </row>
    <row r="9" spans="5:27" x14ac:dyDescent="0.25">
      <c r="E9" s="6"/>
      <c r="F9" s="7"/>
      <c r="G9" s="7"/>
      <c r="H9" s="7"/>
      <c r="I9" s="7"/>
      <c r="J9" s="7"/>
      <c r="K9" s="7"/>
      <c r="L9" s="7"/>
      <c r="M9" s="7"/>
      <c r="N9" s="7"/>
      <c r="O9" s="8"/>
      <c r="Q9" s="191" t="s">
        <v>182</v>
      </c>
      <c r="R9" s="191"/>
      <c r="S9" s="191"/>
      <c r="T9" s="191"/>
      <c r="U9" s="191"/>
      <c r="V9" s="191"/>
      <c r="W9" s="191"/>
      <c r="X9" s="191"/>
      <c r="Y9" s="191"/>
      <c r="Z9" s="191"/>
      <c r="AA9" s="66" t="b">
        <v>0</v>
      </c>
    </row>
    <row r="10" spans="5:27" x14ac:dyDescent="0.25">
      <c r="E10" s="6"/>
      <c r="F10" s="7"/>
      <c r="G10" s="7"/>
      <c r="H10" s="7"/>
      <c r="I10" s="7"/>
      <c r="J10" s="7"/>
      <c r="K10" s="7"/>
      <c r="L10" s="7"/>
      <c r="M10" s="7"/>
      <c r="N10" s="7"/>
      <c r="O10" s="8"/>
      <c r="Q10" s="191" t="str">
        <f>IF(AND(AA12=1,AA5=FALSE,AA6=FALSE,AA9=FALSE,AA10=FALSE,AA11=FALSE),"A munkatapasztalat igazolása, munkaszerződéssel, egyéb igazolásokkal",IF(AND(AA12=3,AA5=FALSE,AA6=FALSE,AA11=FALSE),"Szakképesítés igazolása",""))</f>
        <v/>
      </c>
      <c r="R10" s="191"/>
      <c r="S10" s="191"/>
      <c r="T10" s="191"/>
      <c r="U10" s="191"/>
      <c r="V10" s="191"/>
      <c r="W10" s="191"/>
      <c r="X10" s="191"/>
      <c r="Y10" s="191"/>
      <c r="Z10" s="191"/>
      <c r="AA10" s="66" t="b">
        <v>0</v>
      </c>
    </row>
    <row r="11" spans="5:27" x14ac:dyDescent="0.25">
      <c r="E11" s="6"/>
      <c r="F11" s="7"/>
      <c r="G11" s="7"/>
      <c r="H11" s="7"/>
      <c r="I11" s="7"/>
      <c r="J11" s="7"/>
      <c r="K11" s="7"/>
      <c r="L11" s="7"/>
      <c r="M11" s="7"/>
      <c r="N11" s="7"/>
      <c r="O11" s="8"/>
      <c r="Q11" s="191" t="str">
        <f>IF(OR(AA5,AA6,AA7)=TRUE,"","Betöltött 18. életév")</f>
        <v>Betöltött 18. életév</v>
      </c>
      <c r="R11" s="191"/>
      <c r="S11" s="191"/>
      <c r="T11" s="191"/>
      <c r="U11" s="191"/>
      <c r="V11" s="191"/>
      <c r="W11" s="191"/>
      <c r="X11" s="191"/>
      <c r="Y11" s="191"/>
      <c r="Z11" s="191"/>
      <c r="AA11" s="66" t="b">
        <v>0</v>
      </c>
    </row>
    <row r="12" spans="5:27" x14ac:dyDescent="0.25">
      <c r="E12" s="6"/>
      <c r="F12" s="7"/>
      <c r="G12" s="7"/>
      <c r="H12" s="7"/>
      <c r="I12" s="7"/>
      <c r="J12" s="7"/>
      <c r="K12" s="7"/>
      <c r="L12" s="7"/>
      <c r="M12" s="7"/>
      <c r="N12" s="7"/>
      <c r="O12" s="8"/>
      <c r="Q12" s="272" t="s">
        <v>184</v>
      </c>
      <c r="R12" s="272"/>
      <c r="S12" s="272"/>
      <c r="T12" s="272"/>
      <c r="U12" s="272"/>
      <c r="V12" s="272"/>
      <c r="W12" s="272"/>
      <c r="X12" s="272"/>
      <c r="Y12" s="272"/>
      <c r="Z12" s="272"/>
      <c r="AA12" s="66">
        <v>4</v>
      </c>
    </row>
    <row r="13" spans="5:27" x14ac:dyDescent="0.25">
      <c r="E13" s="6"/>
      <c r="F13" s="7"/>
      <c r="G13" s="7"/>
      <c r="H13" s="7"/>
      <c r="I13" s="7"/>
      <c r="J13" s="7"/>
      <c r="K13" s="7"/>
      <c r="L13" s="7"/>
      <c r="M13" s="7"/>
      <c r="N13" s="7"/>
      <c r="O13" s="8"/>
      <c r="Q13" s="272"/>
      <c r="R13" s="272"/>
      <c r="S13" s="272"/>
      <c r="T13" s="272"/>
      <c r="U13" s="272"/>
      <c r="V13" s="272"/>
      <c r="W13" s="272"/>
      <c r="X13" s="272"/>
      <c r="Y13" s="272"/>
      <c r="Z13" s="272"/>
      <c r="AA13" s="66"/>
    </row>
    <row r="14" spans="5:27" ht="15.75" x14ac:dyDescent="0.25">
      <c r="E14" s="6"/>
      <c r="F14" s="7"/>
      <c r="G14" s="7"/>
      <c r="H14" s="7"/>
      <c r="I14" s="7"/>
      <c r="J14" s="7"/>
      <c r="K14" s="7"/>
      <c r="L14" s="7"/>
      <c r="M14" s="7"/>
      <c r="N14" s="7"/>
      <c r="O14" s="8"/>
      <c r="Q14" s="340" t="s">
        <v>183</v>
      </c>
      <c r="R14" s="340"/>
      <c r="S14" s="340"/>
      <c r="T14" s="340"/>
      <c r="U14" s="340"/>
      <c r="V14" s="340"/>
      <c r="W14" s="340"/>
      <c r="X14" s="340"/>
      <c r="Y14" s="340"/>
      <c r="Z14" s="340"/>
      <c r="AA14" s="66"/>
    </row>
    <row r="15" spans="5:27" ht="15" customHeight="1" x14ac:dyDescent="0.25">
      <c r="E15" s="6"/>
      <c r="F15" s="7"/>
      <c r="G15" s="7"/>
      <c r="H15" s="7"/>
      <c r="I15" s="7"/>
      <c r="J15" s="7"/>
      <c r="K15" s="7"/>
      <c r="L15" s="7"/>
      <c r="M15" s="7"/>
      <c r="N15" s="7"/>
      <c r="O15" s="8"/>
      <c r="Q15" s="155" t="str">
        <f>IF(AND(AA9=TRUE,AA10=FALSE,AA5=FALSE,AA6=FALSE),"Legalább 360 nap,a képzés részeként vagy annak befejezése után teljesített hajózási idő igazolása","")</f>
        <v/>
      </c>
      <c r="R15" s="156"/>
      <c r="S15" s="156"/>
      <c r="T15" s="156"/>
      <c r="U15" s="156"/>
      <c r="V15" s="156" t="str">
        <f>IF(AND(AA10=TRUE,AA5=FALSE,AA6=FALSE,AA11=FALSE),"Legalább 180 nap hajózási idő igazolása","")</f>
        <v/>
      </c>
      <c r="W15" s="156"/>
      <c r="X15" s="156"/>
      <c r="Y15" s="156"/>
      <c r="Z15" s="157"/>
      <c r="AA15" s="66"/>
    </row>
    <row r="16" spans="5:27" x14ac:dyDescent="0.25">
      <c r="E16" s="6"/>
      <c r="F16" s="7"/>
      <c r="G16" s="7"/>
      <c r="H16" s="7"/>
      <c r="I16" s="7"/>
      <c r="J16" s="7"/>
      <c r="K16" s="7"/>
      <c r="L16" s="7"/>
      <c r="M16" s="7"/>
      <c r="N16" s="7"/>
      <c r="O16" s="8"/>
      <c r="Q16" s="158"/>
      <c r="R16" s="159"/>
      <c r="S16" s="159"/>
      <c r="T16" s="159"/>
      <c r="U16" s="159"/>
      <c r="V16" s="159"/>
      <c r="W16" s="159"/>
      <c r="X16" s="159"/>
      <c r="Y16" s="159"/>
      <c r="Z16" s="160"/>
      <c r="AA16" s="66"/>
    </row>
    <row r="17" spans="5:28" x14ac:dyDescent="0.25">
      <c r="E17" s="9"/>
      <c r="F17" s="10"/>
      <c r="G17" s="10"/>
      <c r="H17" s="10"/>
      <c r="I17" s="10"/>
      <c r="J17" s="10"/>
      <c r="K17" s="10"/>
      <c r="L17" s="10"/>
      <c r="M17" s="10"/>
      <c r="N17" s="10"/>
      <c r="O17" s="11"/>
      <c r="Q17" s="161"/>
      <c r="R17" s="162"/>
      <c r="S17" s="162"/>
      <c r="T17" s="162"/>
      <c r="U17" s="162"/>
      <c r="V17" s="162"/>
      <c r="W17" s="162"/>
      <c r="X17" s="162"/>
      <c r="Y17" s="162"/>
      <c r="Z17" s="163"/>
      <c r="AA17" s="66"/>
    </row>
    <row r="18" spans="5:28" x14ac:dyDescent="0.25">
      <c r="E18" s="275" t="s">
        <v>174</v>
      </c>
      <c r="F18" s="276"/>
      <c r="G18" s="276"/>
      <c r="H18" s="276"/>
      <c r="I18" s="276"/>
      <c r="J18" s="276"/>
      <c r="K18" s="276"/>
      <c r="L18" s="276"/>
      <c r="M18" s="276"/>
      <c r="N18" s="276"/>
      <c r="O18" s="277"/>
      <c r="Q18" s="257" t="str">
        <f>IF(AND(AA12&lt;4,AA5=FALSE,AA6=FALSE,AA11=FALSE,AA10=FALSE,AA9=FALSE),"Legalább másfél év időtartamú, irányítási szintű jóváhagyott képzési program elvégzése","")</f>
        <v/>
      </c>
      <c r="R18" s="257"/>
      <c r="S18" s="257"/>
      <c r="T18" s="257"/>
      <c r="U18" s="257"/>
      <c r="V18" s="257"/>
      <c r="W18" s="257"/>
      <c r="X18" s="257"/>
      <c r="Y18" s="257"/>
      <c r="Z18" s="257"/>
      <c r="AA18" s="66"/>
    </row>
    <row r="19" spans="5:28" x14ac:dyDescent="0.25">
      <c r="E19" s="13"/>
      <c r="F19" s="14"/>
      <c r="G19" s="14"/>
      <c r="H19" s="14"/>
      <c r="I19" s="14"/>
      <c r="J19" s="14"/>
      <c r="K19" s="14"/>
      <c r="L19" s="14"/>
      <c r="M19" s="14"/>
      <c r="N19" s="14"/>
      <c r="O19" s="15"/>
      <c r="Q19" s="257" t="str">
        <f>IF(AND(AA12&lt;4,AA5=FALSE,AA6=FALSE,AA11=FALSE,AA10=FALSE,AA9=FALSE),"A jóváhagyott képzési program keretében lezajlott, legalább 180 nap hajózási idő igazolása, és legalább 180 nap a képzési program befejezése utáni időszakból származó hajózási időt igazolása","")</f>
        <v/>
      </c>
      <c r="R19" s="257"/>
      <c r="S19" s="257"/>
      <c r="T19" s="257"/>
      <c r="U19" s="257"/>
      <c r="V19" s="257"/>
      <c r="W19" s="257"/>
      <c r="X19" s="257"/>
      <c r="Y19" s="257"/>
      <c r="Z19" s="257"/>
      <c r="AA19" s="66"/>
    </row>
    <row r="20" spans="5:28" x14ac:dyDescent="0.25">
      <c r="E20" s="6"/>
      <c r="F20" s="7"/>
      <c r="G20" s="7"/>
      <c r="H20" s="7"/>
      <c r="I20" s="7"/>
      <c r="J20" s="7"/>
      <c r="K20" s="7"/>
      <c r="L20" s="7"/>
      <c r="M20" s="7"/>
      <c r="N20" s="7"/>
      <c r="O20" s="8"/>
      <c r="Q20" s="257"/>
      <c r="R20" s="257"/>
      <c r="S20" s="257"/>
      <c r="T20" s="257"/>
      <c r="U20" s="257"/>
      <c r="V20" s="257"/>
      <c r="W20" s="257"/>
      <c r="X20" s="257"/>
      <c r="Y20" s="257"/>
      <c r="Z20" s="257"/>
      <c r="AA20" s="66"/>
    </row>
    <row r="21" spans="5:28" x14ac:dyDescent="0.25">
      <c r="E21" s="6"/>
      <c r="F21" s="7"/>
      <c r="G21" s="7"/>
      <c r="H21" s="7"/>
      <c r="I21" s="7"/>
      <c r="J21" s="7"/>
      <c r="K21" s="7"/>
      <c r="L21" s="7"/>
      <c r="M21" s="7"/>
      <c r="N21" s="7"/>
      <c r="O21" s="8"/>
      <c r="Q21" s="257"/>
      <c r="R21" s="257"/>
      <c r="S21" s="257"/>
      <c r="T21" s="257"/>
      <c r="U21" s="257"/>
      <c r="V21" s="257"/>
      <c r="W21" s="257"/>
      <c r="X21" s="257"/>
      <c r="Y21" s="257"/>
      <c r="Z21" s="257"/>
      <c r="AA21" s="66"/>
    </row>
    <row r="22" spans="5:28" x14ac:dyDescent="0.25">
      <c r="E22" s="6"/>
      <c r="F22" s="7"/>
      <c r="G22" s="7"/>
      <c r="H22" s="7"/>
      <c r="I22" s="7"/>
      <c r="J22" s="7"/>
      <c r="K22" s="7"/>
      <c r="L22" s="7"/>
      <c r="M22" s="7"/>
      <c r="N22" s="7"/>
      <c r="O22" s="8"/>
      <c r="Q22" s="257" t="str">
        <f>IF(OR(AA5,AA6,AA9,AA10,AA11,AA12&lt;4)=TRUE,"","Legalább 540 nap hajózási idő igazolása, vagy legalább 180 nap hajózási idő igazolása és további, tengeri hajón a fedélzeti személyzet tagjaként megszerzett, legalább 500 nap munkatapasztalat igazolása")</f>
        <v>Legalább 540 nap hajózási idő igazolása, vagy legalább 180 nap hajózási idő igazolása és további, tengeri hajón a fedélzeti személyzet tagjaként megszerzett, legalább 500 nap munkatapasztalat igazolása</v>
      </c>
      <c r="R22" s="257"/>
      <c r="S22" s="257"/>
      <c r="T22" s="257"/>
      <c r="U22" s="257"/>
      <c r="V22" s="257"/>
      <c r="W22" s="257"/>
      <c r="X22" s="257"/>
      <c r="Y22" s="257"/>
      <c r="Z22" s="257"/>
      <c r="AA22" s="66"/>
    </row>
    <row r="23" spans="5:28" x14ac:dyDescent="0.25">
      <c r="E23" s="6"/>
      <c r="F23" s="7"/>
      <c r="G23" s="7"/>
      <c r="H23" s="7"/>
      <c r="I23" s="7"/>
      <c r="J23" s="7"/>
      <c r="K23" s="7"/>
      <c r="L23" s="7"/>
      <c r="M23" s="7"/>
      <c r="N23" s="7"/>
      <c r="O23" s="8"/>
      <c r="Q23" s="257"/>
      <c r="R23" s="257"/>
      <c r="S23" s="257"/>
      <c r="T23" s="257"/>
      <c r="U23" s="257"/>
      <c r="V23" s="257"/>
      <c r="W23" s="257"/>
      <c r="X23" s="257"/>
      <c r="Y23" s="257"/>
      <c r="Z23" s="257"/>
      <c r="AA23" s="66"/>
    </row>
    <row r="24" spans="5:28" x14ac:dyDescent="0.25">
      <c r="E24" s="9"/>
      <c r="F24" s="10"/>
      <c r="G24" s="10"/>
      <c r="H24" s="10"/>
      <c r="I24" s="10"/>
      <c r="J24" s="10"/>
      <c r="K24" s="10"/>
      <c r="L24" s="10"/>
      <c r="M24" s="10"/>
      <c r="N24" s="10"/>
      <c r="O24" s="11"/>
      <c r="Q24" s="257"/>
      <c r="R24" s="257"/>
      <c r="S24" s="257"/>
      <c r="T24" s="257"/>
      <c r="U24" s="257"/>
      <c r="V24" s="257"/>
      <c r="W24" s="257"/>
      <c r="X24" s="257"/>
      <c r="Y24" s="257"/>
      <c r="Z24" s="257"/>
      <c r="AA24" s="66"/>
    </row>
    <row r="25" spans="5:28" x14ac:dyDescent="0.25">
      <c r="Q25" s="148" t="str">
        <f>IF(AA11=TRUE,"Legalább két év kompvezetői hajózási idő igazolása","")</f>
        <v/>
      </c>
      <c r="R25" s="148"/>
      <c r="S25" s="148"/>
      <c r="T25" s="148"/>
      <c r="U25" s="148"/>
      <c r="V25" s="148"/>
      <c r="W25" s="148"/>
      <c r="X25" s="148"/>
      <c r="Y25" s="148"/>
      <c r="Z25" s="148"/>
      <c r="AA25" s="66"/>
    </row>
    <row r="26" spans="5:28" ht="15.75" x14ac:dyDescent="0.25">
      <c r="E26" s="265" t="s">
        <v>37</v>
      </c>
      <c r="F26" s="266"/>
      <c r="G26" s="266"/>
      <c r="H26" s="266"/>
      <c r="I26" s="266"/>
      <c r="J26" s="266"/>
      <c r="K26" s="267"/>
    </row>
    <row r="27" spans="5:28" ht="28.5" customHeight="1" x14ac:dyDescent="0.25">
      <c r="E27" s="341" t="s">
        <v>185</v>
      </c>
      <c r="F27" s="341"/>
      <c r="G27" s="341" t="s">
        <v>186</v>
      </c>
      <c r="H27" s="341"/>
      <c r="I27" s="341" t="s">
        <v>187</v>
      </c>
      <c r="J27" s="341"/>
      <c r="K27" s="46" t="s">
        <v>188</v>
      </c>
      <c r="M27" s="126" t="s">
        <v>43</v>
      </c>
      <c r="N27" s="126"/>
      <c r="O27" s="305" t="s">
        <v>58</v>
      </c>
      <c r="P27" s="306"/>
      <c r="Q27" s="307"/>
      <c r="S27" s="213" t="s">
        <v>169</v>
      </c>
      <c r="T27" s="214"/>
      <c r="U27" s="214"/>
      <c r="V27" s="214"/>
      <c r="W27" s="214"/>
      <c r="X27" s="214"/>
      <c r="Y27" s="214"/>
      <c r="Z27" s="214"/>
      <c r="AA27" s="214"/>
      <c r="AB27" s="215"/>
    </row>
    <row r="28" spans="5:28" ht="15" customHeight="1" x14ac:dyDescent="0.25">
      <c r="E28" s="342" t="s">
        <v>175</v>
      </c>
      <c r="F28" s="342" t="s">
        <v>176</v>
      </c>
      <c r="G28" s="342" t="s">
        <v>177</v>
      </c>
      <c r="H28" s="342" t="s">
        <v>178</v>
      </c>
      <c r="I28" s="342" t="s">
        <v>179</v>
      </c>
      <c r="J28" s="342" t="s">
        <v>178</v>
      </c>
      <c r="K28" s="342" t="s">
        <v>180</v>
      </c>
      <c r="M28" s="258">
        <f>SUM(E36:K36)</f>
        <v>169600</v>
      </c>
      <c r="N28" s="312"/>
      <c r="O28" s="131">
        <f>Kezdőlap!E41</f>
        <v>7300</v>
      </c>
      <c r="P28" s="313"/>
      <c r="Q28" s="313"/>
      <c r="S28" s="216"/>
      <c r="T28" s="217"/>
      <c r="U28" s="217"/>
      <c r="V28" s="217"/>
      <c r="W28" s="217"/>
      <c r="X28" s="217"/>
      <c r="Y28" s="217"/>
      <c r="Z28" s="217"/>
      <c r="AA28" s="217"/>
      <c r="AB28" s="218"/>
    </row>
    <row r="29" spans="5:28" ht="15" customHeight="1" x14ac:dyDescent="0.25">
      <c r="E29" s="343"/>
      <c r="F29" s="343"/>
      <c r="G29" s="343"/>
      <c r="H29" s="343"/>
      <c r="I29" s="343"/>
      <c r="J29" s="343"/>
      <c r="K29" s="343"/>
      <c r="M29" s="312"/>
      <c r="N29" s="312"/>
      <c r="O29" s="313"/>
      <c r="P29" s="313"/>
      <c r="Q29" s="313"/>
      <c r="S29" s="219"/>
      <c r="T29" s="220"/>
      <c r="U29" s="220"/>
      <c r="V29" s="220"/>
      <c r="W29" s="220"/>
      <c r="X29" s="220"/>
      <c r="Y29" s="220"/>
      <c r="Z29" s="220"/>
      <c r="AA29" s="220"/>
      <c r="AB29" s="221"/>
    </row>
    <row r="30" spans="5:28" ht="15" customHeight="1" x14ac:dyDescent="0.25">
      <c r="E30" s="343"/>
      <c r="F30" s="343"/>
      <c r="G30" s="343"/>
      <c r="H30" s="343"/>
      <c r="I30" s="343"/>
      <c r="J30" s="343"/>
      <c r="K30" s="343"/>
      <c r="M30" s="312"/>
      <c r="N30" s="312"/>
      <c r="O30" s="313"/>
      <c r="P30" s="313"/>
      <c r="Q30" s="313"/>
    </row>
    <row r="31" spans="5:28" ht="15" customHeight="1" x14ac:dyDescent="0.25">
      <c r="E31" s="343"/>
      <c r="F31" s="343"/>
      <c r="G31" s="343"/>
      <c r="H31" s="343"/>
      <c r="I31" s="343"/>
      <c r="J31" s="343"/>
      <c r="K31" s="343"/>
      <c r="M31" s="312"/>
      <c r="N31" s="312"/>
      <c r="O31" s="313"/>
      <c r="P31" s="313"/>
      <c r="Q31" s="313"/>
      <c r="S31" s="296" t="s">
        <v>281</v>
      </c>
      <c r="T31" s="297"/>
      <c r="U31" s="297"/>
      <c r="V31" s="297"/>
      <c r="W31" s="297"/>
      <c r="X31" s="297"/>
      <c r="Y31" s="297"/>
      <c r="Z31" s="297"/>
      <c r="AA31" s="297"/>
      <c r="AB31" s="298"/>
    </row>
    <row r="32" spans="5:28" ht="15" customHeight="1" x14ac:dyDescent="0.25">
      <c r="E32" s="343"/>
      <c r="F32" s="343"/>
      <c r="G32" s="343"/>
      <c r="H32" s="343"/>
      <c r="I32" s="343"/>
      <c r="J32" s="343"/>
      <c r="K32" s="343"/>
      <c r="M32" s="312"/>
      <c r="N32" s="312"/>
      <c r="O32" s="313"/>
      <c r="P32" s="313"/>
      <c r="Q32" s="313"/>
      <c r="S32" s="299"/>
      <c r="T32" s="321"/>
      <c r="U32" s="321"/>
      <c r="V32" s="321"/>
      <c r="W32" s="321"/>
      <c r="X32" s="321"/>
      <c r="Y32" s="321"/>
      <c r="Z32" s="321"/>
      <c r="AA32" s="321"/>
      <c r="AB32" s="301"/>
    </row>
    <row r="33" spans="5:28" ht="15" customHeight="1" x14ac:dyDescent="0.25">
      <c r="E33" s="343"/>
      <c r="F33" s="343"/>
      <c r="G33" s="343"/>
      <c r="H33" s="343"/>
      <c r="I33" s="343"/>
      <c r="J33" s="343"/>
      <c r="K33" s="343"/>
      <c r="M33" s="312"/>
      <c r="N33" s="312"/>
      <c r="O33" s="313"/>
      <c r="P33" s="313"/>
      <c r="Q33" s="313"/>
      <c r="S33" s="302"/>
      <c r="T33" s="303"/>
      <c r="U33" s="303"/>
      <c r="V33" s="303"/>
      <c r="W33" s="303"/>
      <c r="X33" s="303"/>
      <c r="Y33" s="303"/>
      <c r="Z33" s="303"/>
      <c r="AA33" s="303"/>
      <c r="AB33" s="304"/>
    </row>
    <row r="34" spans="5:28" ht="15" customHeight="1" x14ac:dyDescent="0.25">
      <c r="E34" s="344"/>
      <c r="F34" s="344"/>
      <c r="G34" s="344"/>
      <c r="H34" s="344"/>
      <c r="I34" s="344"/>
      <c r="J34" s="344"/>
      <c r="K34" s="344"/>
      <c r="M34" s="312"/>
      <c r="N34" s="312"/>
      <c r="O34" s="313"/>
      <c r="P34" s="313"/>
      <c r="Q34" s="313"/>
    </row>
    <row r="35" spans="5:28" ht="15" customHeight="1" x14ac:dyDescent="0.25">
      <c r="E35" s="43" t="str">
        <f>IF(OR(AA5,AA6,AA7,AA11)=TRUE,"Felmentés","Vizsga")</f>
        <v>Vizsga</v>
      </c>
      <c r="F35" s="43" t="str">
        <f>IF(OR(AA5,AA6,AA11)=TRUE,"Felmentés","Vizsga")</f>
        <v>Vizsga</v>
      </c>
      <c r="G35" s="43" t="str">
        <f>IF(OR(AA5,AA6,AA8,AA11)=TRUE,"Felmentés","Vizsga")</f>
        <v>Vizsga</v>
      </c>
      <c r="H35" s="43" t="str">
        <f>IF(OR(AA5,AA6,AA8,AA11)=TRUE,"Felmentés","Vizsga")</f>
        <v>Vizsga</v>
      </c>
      <c r="I35" s="43" t="str">
        <f>IF(OR(AA5,AA6,AA11)=TRUE,"Felmentés","Vizsga")</f>
        <v>Vizsga</v>
      </c>
      <c r="J35" s="43" t="str">
        <f>IF(OR(AA5,AA6,AA11)=TRUE,"Felmentés","Vizsga")</f>
        <v>Vizsga</v>
      </c>
      <c r="K35" s="43" t="str">
        <f>IF(OR(AA5,AA6,AA11)=TRUE,"Felmentés","Vizsga")</f>
        <v>Vizsga</v>
      </c>
      <c r="M35" s="312"/>
      <c r="N35" s="312"/>
      <c r="O35" s="313"/>
      <c r="P35" s="313"/>
      <c r="Q35" s="313"/>
    </row>
    <row r="36" spans="5:28" ht="15.75" x14ac:dyDescent="0.25">
      <c r="E36" s="39">
        <f>IF(OR(AA5,AA6,AA7,AA11)=TRUE,0,Kezdőlap!E35)</f>
        <v>12100</v>
      </c>
      <c r="F36" s="39">
        <f>IF(OR(AA5,AA6,AA11)=TRUE,0,Kezdőlap!E37)</f>
        <v>19400</v>
      </c>
      <c r="G36" s="39">
        <f>IF(OR(AA5,AA6,AA8,AA11)=TRUE,0,Kezdőlap!E40)</f>
        <v>31500</v>
      </c>
      <c r="H36" s="39">
        <f>IF(OR(AA5,AA6,AA8,AA11)=TRUE,0,Kezdőlap!E40)</f>
        <v>31500</v>
      </c>
      <c r="I36" s="39">
        <f>IF(OR(AA5,AA6,AA11)=TRUE,0,Kezdőlap!E39)</f>
        <v>24200</v>
      </c>
      <c r="J36" s="39">
        <f>IF(OR(AA5,AA6,AA11)=TRUE,0,Kezdőlap!E37)</f>
        <v>19400</v>
      </c>
      <c r="K36" s="39">
        <f>IF(OR(AA5,AA6,AA11)=TRUE,0,Kezdőlap!E40)</f>
        <v>31500</v>
      </c>
    </row>
  </sheetData>
  <sheetProtection sheet="1" objects="1" scenarios="1" selectLockedCells="1"/>
  <mergeCells count="36">
    <mergeCell ref="E26:K26"/>
    <mergeCell ref="E27:F27"/>
    <mergeCell ref="G27:H27"/>
    <mergeCell ref="I27:J27"/>
    <mergeCell ref="J28:J34"/>
    <mergeCell ref="K28:K34"/>
    <mergeCell ref="E28:E34"/>
    <mergeCell ref="F28:F34"/>
    <mergeCell ref="G28:G34"/>
    <mergeCell ref="H28:H34"/>
    <mergeCell ref="I28:I34"/>
    <mergeCell ref="Q3:Z4"/>
    <mergeCell ref="M27:N27"/>
    <mergeCell ref="O27:Q27"/>
    <mergeCell ref="Q19:Z21"/>
    <mergeCell ref="Q22:Z24"/>
    <mergeCell ref="Q25:Z25"/>
    <mergeCell ref="S27:AB29"/>
    <mergeCell ref="O28:Q35"/>
    <mergeCell ref="M28:N35"/>
    <mergeCell ref="S31:AB33"/>
    <mergeCell ref="E5:O5"/>
    <mergeCell ref="E3:O4"/>
    <mergeCell ref="E18:O18"/>
    <mergeCell ref="Q7:Z7"/>
    <mergeCell ref="Q8:Z8"/>
    <mergeCell ref="Q6:Z6"/>
    <mergeCell ref="Q18:Z18"/>
    <mergeCell ref="Q5:Z5"/>
    <mergeCell ref="Q10:Z10"/>
    <mergeCell ref="Q9:Z9"/>
    <mergeCell ref="Q11:Z11"/>
    <mergeCell ref="Q12:Z13"/>
    <mergeCell ref="Q14:Z14"/>
    <mergeCell ref="Q15:U17"/>
    <mergeCell ref="V15:Z17"/>
  </mergeCells>
  <conditionalFormatting sqref="E35:K35">
    <cfRule type="containsText" dxfId="41" priority="1" operator="containsText" text="Vizsga">
      <formula>NOT(ISERROR(SEARCH("Vizsga",E35)))</formula>
    </cfRule>
  </conditionalFormatting>
  <pageMargins left="0.7" right="0.7" top="0.75" bottom="0.75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8913" r:id="rId4" name="Check Box 1">
              <controlPr defaultSize="0" autoFill="0" autoLine="0" autoPict="0">
                <anchor moveWithCells="1">
                  <from>
                    <xdr:col>4</xdr:col>
                    <xdr:colOff>38100</xdr:colOff>
                    <xdr:row>5</xdr:row>
                    <xdr:rowOff>38100</xdr:rowOff>
                  </from>
                  <to>
                    <xdr:col>11</xdr:col>
                    <xdr:colOff>295275</xdr:colOff>
                    <xdr:row>6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14" r:id="rId5" name="Check Box 2">
              <controlPr defaultSize="0" autoFill="0" autoLine="0" autoPict="0">
                <anchor moveWithCells="1">
                  <from>
                    <xdr:col>4</xdr:col>
                    <xdr:colOff>38100</xdr:colOff>
                    <xdr:row>6</xdr:row>
                    <xdr:rowOff>95250</xdr:rowOff>
                  </from>
                  <to>
                    <xdr:col>10</xdr:col>
                    <xdr:colOff>409575</xdr:colOff>
                    <xdr:row>8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15" r:id="rId6" name="Check Box 3">
              <controlPr defaultSize="0" autoFill="0" autoLine="0" autoPict="0">
                <anchor moveWithCells="1">
                  <from>
                    <xdr:col>4</xdr:col>
                    <xdr:colOff>38100</xdr:colOff>
                    <xdr:row>8</xdr:row>
                    <xdr:rowOff>161925</xdr:rowOff>
                  </from>
                  <to>
                    <xdr:col>11</xdr:col>
                    <xdr:colOff>295275</xdr:colOff>
                    <xdr:row>10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16" r:id="rId7" name="Check Box 4">
              <controlPr defaultSize="0" autoFill="0" autoLine="0" autoPict="0">
                <anchor moveWithCells="1">
                  <from>
                    <xdr:col>4</xdr:col>
                    <xdr:colOff>38100</xdr:colOff>
                    <xdr:row>10</xdr:row>
                    <xdr:rowOff>47625</xdr:rowOff>
                  </from>
                  <to>
                    <xdr:col>13</xdr:col>
                    <xdr:colOff>314325</xdr:colOff>
                    <xdr:row>11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17" r:id="rId8" name="Check Box 5">
              <controlPr defaultSize="0" autoFill="0" autoLine="0" autoPict="0">
                <anchor moveWithCells="1">
                  <from>
                    <xdr:col>4</xdr:col>
                    <xdr:colOff>38100</xdr:colOff>
                    <xdr:row>11</xdr:row>
                    <xdr:rowOff>171450</xdr:rowOff>
                  </from>
                  <to>
                    <xdr:col>13</xdr:col>
                    <xdr:colOff>133350</xdr:colOff>
                    <xdr:row>13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18" r:id="rId9" name="Check Box 6">
              <controlPr defaultSize="0" autoFill="0" autoLine="0" autoPict="0">
                <anchor moveWithCells="1">
                  <from>
                    <xdr:col>4</xdr:col>
                    <xdr:colOff>38100</xdr:colOff>
                    <xdr:row>13</xdr:row>
                    <xdr:rowOff>104775</xdr:rowOff>
                  </from>
                  <to>
                    <xdr:col>13</xdr:col>
                    <xdr:colOff>371475</xdr:colOff>
                    <xdr:row>14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19" r:id="rId10" name="Check Box 7">
              <controlPr defaultSize="0" autoFill="0" autoLine="0" autoPict="0">
                <anchor moveWithCells="1">
                  <from>
                    <xdr:col>4</xdr:col>
                    <xdr:colOff>38100</xdr:colOff>
                    <xdr:row>15</xdr:row>
                    <xdr:rowOff>9525</xdr:rowOff>
                  </from>
                  <to>
                    <xdr:col>12</xdr:col>
                    <xdr:colOff>581025</xdr:colOff>
                    <xdr:row>16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20" r:id="rId11" name="Option Button 8">
              <controlPr defaultSize="0" autoFill="0" autoLine="0" autoPict="0">
                <anchor moveWithCells="1">
                  <from>
                    <xdr:col>4</xdr:col>
                    <xdr:colOff>47625</xdr:colOff>
                    <xdr:row>19</xdr:row>
                    <xdr:rowOff>76200</xdr:rowOff>
                  </from>
                  <to>
                    <xdr:col>12</xdr:col>
                    <xdr:colOff>552450</xdr:colOff>
                    <xdr:row>20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22" r:id="rId12" name="Option Button 10">
              <controlPr defaultSize="0" autoFill="0" autoLine="0" autoPict="0">
                <anchor moveWithCells="1">
                  <from>
                    <xdr:col>4</xdr:col>
                    <xdr:colOff>47625</xdr:colOff>
                    <xdr:row>20</xdr:row>
                    <xdr:rowOff>114300</xdr:rowOff>
                  </from>
                  <to>
                    <xdr:col>15</xdr:col>
                    <xdr:colOff>38100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24" r:id="rId13" name="Option Button 12">
              <controlPr defaultSize="0" autoFill="0" autoLine="0" autoPict="0">
                <anchor moveWithCells="1">
                  <from>
                    <xdr:col>4</xdr:col>
                    <xdr:colOff>47625</xdr:colOff>
                    <xdr:row>22</xdr:row>
                    <xdr:rowOff>9525</xdr:rowOff>
                  </from>
                  <to>
                    <xdr:col>13</xdr:col>
                    <xdr:colOff>600075</xdr:colOff>
                    <xdr:row>23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25" r:id="rId14" name="Option Button 13">
              <controlPr defaultSize="0" autoFill="0" autoLine="0" autoPict="0">
                <anchor moveWithCells="1">
                  <from>
                    <xdr:col>4</xdr:col>
                    <xdr:colOff>47625</xdr:colOff>
                    <xdr:row>17</xdr:row>
                    <xdr:rowOff>180975</xdr:rowOff>
                  </from>
                  <to>
                    <xdr:col>11</xdr:col>
                    <xdr:colOff>342900</xdr:colOff>
                    <xdr:row>19</xdr:row>
                    <xdr:rowOff>76200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42B328-1D72-4F48-BEBE-84C091D8BE06}">
  <sheetPr codeName="Munka25">
    <tabColor rgb="FFFFC000"/>
  </sheetPr>
  <dimension ref="B4:W26"/>
  <sheetViews>
    <sheetView showGridLines="0" showRowColHeaders="0" workbookViewId="0">
      <selection activeCell="G23" sqref="G23"/>
    </sheetView>
  </sheetViews>
  <sheetFormatPr defaultRowHeight="15" x14ac:dyDescent="0.25"/>
  <cols>
    <col min="2" max="2" width="9.85546875" customWidth="1"/>
    <col min="3" max="3" width="10" customWidth="1"/>
    <col min="4" max="4" width="10.42578125" customWidth="1"/>
    <col min="23" max="23" width="9.140625" style="66" hidden="1" customWidth="1"/>
  </cols>
  <sheetData>
    <row r="4" spans="2:23" x14ac:dyDescent="0.25">
      <c r="B4" s="149" t="s">
        <v>189</v>
      </c>
      <c r="C4" s="150"/>
      <c r="D4" s="150"/>
      <c r="E4" s="150"/>
      <c r="F4" s="150"/>
      <c r="G4" s="151"/>
      <c r="H4" s="35"/>
      <c r="I4" s="149" t="s">
        <v>35</v>
      </c>
      <c r="J4" s="150"/>
      <c r="K4" s="150"/>
      <c r="L4" s="151"/>
      <c r="N4" s="132" t="s">
        <v>190</v>
      </c>
      <c r="O4" s="132"/>
      <c r="P4" s="132"/>
      <c r="Q4" s="132"/>
      <c r="R4" s="132"/>
      <c r="S4" s="132"/>
      <c r="T4" s="132"/>
      <c r="U4" s="132"/>
      <c r="V4" s="132"/>
    </row>
    <row r="5" spans="2:23" x14ac:dyDescent="0.25">
      <c r="B5" s="152"/>
      <c r="C5" s="153"/>
      <c r="D5" s="153"/>
      <c r="E5" s="153"/>
      <c r="F5" s="153"/>
      <c r="G5" s="154"/>
      <c r="H5" s="35"/>
      <c r="I5" s="152"/>
      <c r="J5" s="153"/>
      <c r="K5" s="153"/>
      <c r="L5" s="154"/>
      <c r="N5" s="132"/>
      <c r="O5" s="132"/>
      <c r="P5" s="132"/>
      <c r="Q5" s="132"/>
      <c r="R5" s="132"/>
      <c r="S5" s="132"/>
      <c r="T5" s="132"/>
      <c r="U5" s="132"/>
      <c r="V5" s="132"/>
    </row>
    <row r="6" spans="2:23" ht="15" customHeight="1" x14ac:dyDescent="0.25">
      <c r="B6" s="279" t="s">
        <v>203</v>
      </c>
      <c r="C6" s="279"/>
      <c r="D6" s="279"/>
      <c r="E6" s="279"/>
      <c r="F6" s="279"/>
      <c r="G6" s="279"/>
      <c r="I6" s="155" t="s">
        <v>198</v>
      </c>
      <c r="J6" s="156"/>
      <c r="K6" s="156"/>
      <c r="L6" s="157"/>
      <c r="N6" s="191" t="s">
        <v>195</v>
      </c>
      <c r="O6" s="191"/>
      <c r="P6" s="191"/>
      <c r="Q6" s="191"/>
      <c r="R6" s="191"/>
      <c r="S6" s="191"/>
      <c r="T6" s="191"/>
      <c r="U6" s="191"/>
      <c r="V6" s="191"/>
      <c r="W6" s="66" t="b">
        <v>0</v>
      </c>
    </row>
    <row r="7" spans="2:23" x14ac:dyDescent="0.25">
      <c r="B7" s="13"/>
      <c r="C7" s="14"/>
      <c r="D7" s="14"/>
      <c r="E7" s="14"/>
      <c r="F7" s="14"/>
      <c r="G7" s="15"/>
      <c r="I7" s="158"/>
      <c r="J7" s="159"/>
      <c r="K7" s="159"/>
      <c r="L7" s="160"/>
      <c r="N7" s="191" t="s">
        <v>158</v>
      </c>
      <c r="O7" s="191"/>
      <c r="P7" s="191"/>
      <c r="Q7" s="191"/>
      <c r="R7" s="191"/>
      <c r="S7" s="191"/>
      <c r="T7" s="191"/>
      <c r="U7" s="191"/>
      <c r="V7" s="191"/>
      <c r="W7" s="66" t="b">
        <v>0</v>
      </c>
    </row>
    <row r="8" spans="2:23" x14ac:dyDescent="0.25">
      <c r="B8" s="6"/>
      <c r="C8" s="7"/>
      <c r="D8" s="7"/>
      <c r="E8" s="7"/>
      <c r="F8" s="7"/>
      <c r="G8" s="8"/>
      <c r="I8" s="158"/>
      <c r="J8" s="159"/>
      <c r="K8" s="159"/>
      <c r="L8" s="160"/>
      <c r="N8" s="272" t="s">
        <v>184</v>
      </c>
      <c r="O8" s="272"/>
      <c r="P8" s="272"/>
      <c r="Q8" s="272"/>
      <c r="R8" s="272"/>
      <c r="S8" s="272"/>
      <c r="T8" s="272"/>
      <c r="U8" s="272"/>
      <c r="V8" s="272"/>
      <c r="W8" s="66" t="b">
        <v>0</v>
      </c>
    </row>
    <row r="9" spans="2:23" x14ac:dyDescent="0.25">
      <c r="B9" s="6"/>
      <c r="C9" s="7"/>
      <c r="D9" s="7"/>
      <c r="E9" s="7"/>
      <c r="F9" s="7"/>
      <c r="G9" s="8"/>
      <c r="I9" s="158"/>
      <c r="J9" s="159"/>
      <c r="K9" s="159"/>
      <c r="L9" s="160"/>
      <c r="N9" s="272"/>
      <c r="O9" s="272"/>
      <c r="P9" s="272"/>
      <c r="Q9" s="272"/>
      <c r="R9" s="272"/>
      <c r="S9" s="272"/>
      <c r="T9" s="272"/>
      <c r="U9" s="272"/>
      <c r="V9" s="272"/>
    </row>
    <row r="10" spans="2:23" ht="15" customHeight="1" x14ac:dyDescent="0.25">
      <c r="B10" s="6"/>
      <c r="C10" s="7"/>
      <c r="D10" s="7"/>
      <c r="E10" s="7"/>
      <c r="F10" s="7"/>
      <c r="G10" s="8"/>
      <c r="I10" s="158"/>
      <c r="J10" s="159"/>
      <c r="K10" s="159"/>
      <c r="L10" s="160"/>
      <c r="N10" s="257" t="s">
        <v>196</v>
      </c>
      <c r="O10" s="257"/>
      <c r="P10" s="257"/>
      <c r="Q10" s="257"/>
      <c r="R10" s="257"/>
      <c r="S10" s="257"/>
      <c r="T10" s="257"/>
      <c r="U10" s="257"/>
      <c r="V10" s="257"/>
    </row>
    <row r="11" spans="2:23" x14ac:dyDescent="0.25">
      <c r="B11" s="9"/>
      <c r="C11" s="10"/>
      <c r="D11" s="10"/>
      <c r="E11" s="10"/>
      <c r="F11" s="10"/>
      <c r="G11" s="11"/>
      <c r="I11" s="158"/>
      <c r="J11" s="159"/>
      <c r="K11" s="159"/>
      <c r="L11" s="160"/>
      <c r="N11" s="257"/>
      <c r="O11" s="257"/>
      <c r="P11" s="257"/>
      <c r="Q11" s="257"/>
      <c r="R11" s="257"/>
      <c r="S11" s="257"/>
      <c r="T11" s="257"/>
      <c r="U11" s="257"/>
      <c r="V11" s="257"/>
    </row>
    <row r="12" spans="2:23" x14ac:dyDescent="0.25">
      <c r="I12" s="161"/>
      <c r="J12" s="162"/>
      <c r="K12" s="162"/>
      <c r="L12" s="163"/>
      <c r="N12" s="257"/>
      <c r="O12" s="257"/>
      <c r="P12" s="257"/>
      <c r="Q12" s="257"/>
      <c r="R12" s="257"/>
      <c r="S12" s="257"/>
      <c r="T12" s="257"/>
      <c r="U12" s="257"/>
      <c r="V12" s="257"/>
    </row>
    <row r="13" spans="2:23" ht="15" customHeight="1" x14ac:dyDescent="0.25">
      <c r="B13" s="125" t="s">
        <v>191</v>
      </c>
      <c r="C13" s="125"/>
      <c r="D13" s="125"/>
      <c r="I13" s="155" t="s">
        <v>199</v>
      </c>
      <c r="J13" s="156"/>
      <c r="K13" s="156"/>
      <c r="L13" s="157"/>
      <c r="N13" s="257"/>
      <c r="O13" s="257"/>
      <c r="P13" s="257"/>
      <c r="Q13" s="257"/>
      <c r="R13" s="257"/>
      <c r="S13" s="257"/>
      <c r="T13" s="257"/>
      <c r="U13" s="257"/>
      <c r="V13" s="257"/>
    </row>
    <row r="14" spans="2:23" ht="15" customHeight="1" x14ac:dyDescent="0.25">
      <c r="B14" s="263" t="s">
        <v>192</v>
      </c>
      <c r="C14" s="263" t="s">
        <v>193</v>
      </c>
      <c r="D14" s="263" t="s">
        <v>194</v>
      </c>
      <c r="I14" s="158"/>
      <c r="J14" s="159"/>
      <c r="K14" s="159"/>
      <c r="L14" s="160"/>
      <c r="N14" s="191" t="s">
        <v>197</v>
      </c>
      <c r="O14" s="191"/>
      <c r="P14" s="191"/>
      <c r="Q14" s="191"/>
      <c r="R14" s="191"/>
      <c r="S14" s="191"/>
      <c r="T14" s="191"/>
      <c r="U14" s="191"/>
      <c r="V14" s="191"/>
    </row>
    <row r="15" spans="2:23" ht="15" customHeight="1" x14ac:dyDescent="0.25">
      <c r="B15" s="263"/>
      <c r="C15" s="263"/>
      <c r="D15" s="263"/>
      <c r="I15" s="158"/>
      <c r="J15" s="159"/>
      <c r="K15" s="159"/>
      <c r="L15" s="160"/>
      <c r="N15" s="191" t="s">
        <v>57</v>
      </c>
      <c r="O15" s="191"/>
      <c r="P15" s="191"/>
      <c r="Q15" s="191"/>
      <c r="R15" s="191"/>
      <c r="S15" s="191"/>
      <c r="T15" s="191"/>
      <c r="U15" s="191"/>
      <c r="V15" s="191"/>
    </row>
    <row r="16" spans="2:23" ht="15" customHeight="1" x14ac:dyDescent="0.25">
      <c r="B16" s="263"/>
      <c r="C16" s="263"/>
      <c r="D16" s="263"/>
      <c r="I16" s="161"/>
      <c r="J16" s="162"/>
      <c r="K16" s="162"/>
      <c r="L16" s="163"/>
    </row>
    <row r="17" spans="2:22" ht="15" customHeight="1" x14ac:dyDescent="0.25">
      <c r="B17" s="263"/>
      <c r="C17" s="263"/>
      <c r="D17" s="263"/>
      <c r="N17" s="345" t="s">
        <v>200</v>
      </c>
      <c r="O17" s="345"/>
      <c r="P17" s="345"/>
      <c r="Q17" s="345"/>
      <c r="R17" s="345"/>
      <c r="S17" s="345"/>
      <c r="T17" s="345"/>
      <c r="U17" s="345"/>
      <c r="V17" s="345"/>
    </row>
    <row r="18" spans="2:22" ht="15" customHeight="1" x14ac:dyDescent="0.25">
      <c r="B18" s="263"/>
      <c r="C18" s="263"/>
      <c r="D18" s="263"/>
      <c r="I18" s="125" t="s">
        <v>43</v>
      </c>
      <c r="J18" s="125"/>
      <c r="K18" s="125" t="s">
        <v>78</v>
      </c>
      <c r="L18" s="125"/>
      <c r="N18" s="346" t="s">
        <v>201</v>
      </c>
      <c r="O18" s="346"/>
      <c r="P18" s="346"/>
      <c r="Q18" s="346"/>
      <c r="R18" s="346"/>
      <c r="S18" s="346"/>
      <c r="T18" s="346"/>
      <c r="U18" s="346"/>
      <c r="V18" s="346"/>
    </row>
    <row r="19" spans="2:22" ht="15" customHeight="1" x14ac:dyDescent="0.25">
      <c r="B19" s="263"/>
      <c r="C19" s="263"/>
      <c r="D19" s="263"/>
      <c r="I19" s="288">
        <f>SUM(B25:D25)</f>
        <v>0</v>
      </c>
      <c r="J19" s="288"/>
      <c r="K19" s="131">
        <f>Kezdőlap!E41</f>
        <v>7300</v>
      </c>
      <c r="L19" s="131"/>
      <c r="N19" s="346"/>
      <c r="O19" s="346"/>
      <c r="P19" s="346"/>
      <c r="Q19" s="346"/>
      <c r="R19" s="346"/>
      <c r="S19" s="346"/>
      <c r="T19" s="346"/>
      <c r="U19" s="346"/>
      <c r="V19" s="346"/>
    </row>
    <row r="20" spans="2:22" ht="15" customHeight="1" x14ac:dyDescent="0.25">
      <c r="B20" s="263"/>
      <c r="C20" s="263"/>
      <c r="D20" s="263"/>
      <c r="I20" s="288"/>
      <c r="J20" s="288"/>
      <c r="K20" s="131"/>
      <c r="L20" s="131"/>
    </row>
    <row r="21" spans="2:22" ht="15" customHeight="1" x14ac:dyDescent="0.25">
      <c r="B21" s="263"/>
      <c r="C21" s="263"/>
      <c r="D21" s="263"/>
      <c r="I21" s="288"/>
      <c r="J21" s="288"/>
      <c r="K21" s="131"/>
      <c r="L21" s="131"/>
    </row>
    <row r="22" spans="2:22" x14ac:dyDescent="0.25">
      <c r="B22" s="263"/>
      <c r="C22" s="263"/>
      <c r="D22" s="263"/>
      <c r="I22" s="288"/>
      <c r="J22" s="288"/>
      <c r="K22" s="131"/>
      <c r="L22" s="131"/>
    </row>
    <row r="23" spans="2:22" x14ac:dyDescent="0.25">
      <c r="B23" s="263"/>
      <c r="C23" s="263"/>
      <c r="D23" s="263"/>
      <c r="I23" s="288"/>
      <c r="J23" s="288"/>
      <c r="K23" s="131"/>
      <c r="L23" s="131"/>
    </row>
    <row r="24" spans="2:22" ht="15.75" x14ac:dyDescent="0.25">
      <c r="B24" s="43" t="str">
        <f>IF(W6=TRUE,"Vizsga","-")</f>
        <v>-</v>
      </c>
      <c r="C24" s="43" t="str">
        <f>IF(W7=TRUE,"Vizsga","-")</f>
        <v>-</v>
      </c>
      <c r="D24" s="43" t="str">
        <f>IF(W8=TRUE,"Vizsga","-")</f>
        <v>-</v>
      </c>
      <c r="I24" s="288"/>
      <c r="J24" s="288"/>
      <c r="K24" s="131"/>
      <c r="L24" s="131"/>
    </row>
    <row r="25" spans="2:22" ht="15.75" x14ac:dyDescent="0.25">
      <c r="B25" s="39">
        <f>IF(W6=TRUE,Kezdőlap!E35,0)</f>
        <v>0</v>
      </c>
      <c r="C25" s="39">
        <f>IF(W7=TRUE,Kezdőlap!E35,0)</f>
        <v>0</v>
      </c>
      <c r="D25" s="39">
        <f>IF(W8=TRUE,Kezdőlap!E35,0)</f>
        <v>0</v>
      </c>
      <c r="I25" s="288"/>
      <c r="J25" s="288"/>
      <c r="K25" s="131"/>
      <c r="L25" s="131"/>
    </row>
    <row r="26" spans="2:22" x14ac:dyDescent="0.25">
      <c r="I26" s="288"/>
      <c r="J26" s="288"/>
      <c r="K26" s="131"/>
      <c r="L26" s="131"/>
    </row>
  </sheetData>
  <sheetProtection sheet="1" objects="1" scenarios="1" selectLockedCells="1"/>
  <mergeCells count="22">
    <mergeCell ref="N17:V17"/>
    <mergeCell ref="N18:V19"/>
    <mergeCell ref="N15:V15"/>
    <mergeCell ref="I6:L12"/>
    <mergeCell ref="B4:G5"/>
    <mergeCell ref="I4:L5"/>
    <mergeCell ref="N4:V5"/>
    <mergeCell ref="B6:G6"/>
    <mergeCell ref="N6:V6"/>
    <mergeCell ref="N7:V7"/>
    <mergeCell ref="N8:V9"/>
    <mergeCell ref="N10:V13"/>
    <mergeCell ref="N14:V14"/>
    <mergeCell ref="I13:L16"/>
    <mergeCell ref="I18:J18"/>
    <mergeCell ref="B13:D13"/>
    <mergeCell ref="B14:B23"/>
    <mergeCell ref="C14:C23"/>
    <mergeCell ref="D14:D23"/>
    <mergeCell ref="K18:L18"/>
    <mergeCell ref="K19:L26"/>
    <mergeCell ref="I19:J26"/>
  </mergeCells>
  <conditionalFormatting sqref="B24:D24">
    <cfRule type="containsText" dxfId="40" priority="1" operator="containsText" text="Vizsga">
      <formula>NOT(ISERROR(SEARCH("Vizsga",B24)))</formula>
    </cfRule>
  </conditionalFormatting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9937" r:id="rId3" name="Check Box 1">
              <controlPr defaultSize="0" autoFill="0" autoLine="0" autoPict="0">
                <anchor moveWithCells="1">
                  <from>
                    <xdr:col>1</xdr:col>
                    <xdr:colOff>66675</xdr:colOff>
                    <xdr:row>9</xdr:row>
                    <xdr:rowOff>85725</xdr:rowOff>
                  </from>
                  <to>
                    <xdr:col>6</xdr:col>
                    <xdr:colOff>28575</xdr:colOff>
                    <xdr:row>10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38" r:id="rId4" name="Check Box 2">
              <controlPr defaultSize="0" autoFill="0" autoLine="0" autoPict="0">
                <anchor moveWithCells="1">
                  <from>
                    <xdr:col>1</xdr:col>
                    <xdr:colOff>66675</xdr:colOff>
                    <xdr:row>7</xdr:row>
                    <xdr:rowOff>180975</xdr:rowOff>
                  </from>
                  <to>
                    <xdr:col>5</xdr:col>
                    <xdr:colOff>542925</xdr:colOff>
                    <xdr:row>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39" r:id="rId5" name="Check Box 3">
              <controlPr defaultSize="0" autoFill="0" autoLine="0" autoPict="0">
                <anchor moveWithCells="1">
                  <from>
                    <xdr:col>1</xdr:col>
                    <xdr:colOff>66675</xdr:colOff>
                    <xdr:row>6</xdr:row>
                    <xdr:rowOff>85725</xdr:rowOff>
                  </from>
                  <to>
                    <xdr:col>5</xdr:col>
                    <xdr:colOff>571500</xdr:colOff>
                    <xdr:row>7</xdr:row>
                    <xdr:rowOff>114300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55AEAF-342D-47CE-92B7-C4F9DCE8A01F}">
  <sheetPr codeName="Munka26">
    <tabColor rgb="FFFFC000"/>
  </sheetPr>
  <dimension ref="B4:Z32"/>
  <sheetViews>
    <sheetView showGridLines="0" showRowColHeaders="0" workbookViewId="0">
      <selection activeCell="L2" sqref="L2"/>
    </sheetView>
  </sheetViews>
  <sheetFormatPr defaultRowHeight="15" x14ac:dyDescent="0.25"/>
  <cols>
    <col min="2" max="2" width="9.5703125" customWidth="1"/>
    <col min="3" max="3" width="9.7109375" customWidth="1"/>
    <col min="4" max="4" width="10.140625" customWidth="1"/>
    <col min="5" max="5" width="10.85546875" customWidth="1"/>
    <col min="6" max="6" width="10.7109375" customWidth="1"/>
    <col min="7" max="8" width="11.140625" customWidth="1"/>
    <col min="9" max="9" width="9.7109375" customWidth="1"/>
    <col min="10" max="12" width="10.28515625" customWidth="1"/>
    <col min="13" max="13" width="10.42578125" customWidth="1"/>
    <col min="14" max="14" width="11.5703125" customWidth="1"/>
    <col min="15" max="15" width="9.85546875" customWidth="1"/>
    <col min="26" max="26" width="9.140625" style="66" hidden="1" customWidth="1"/>
  </cols>
  <sheetData>
    <row r="4" spans="2:26" x14ac:dyDescent="0.25">
      <c r="B4" s="132" t="s">
        <v>202</v>
      </c>
      <c r="C4" s="132"/>
      <c r="D4" s="132"/>
      <c r="E4" s="132"/>
      <c r="F4" s="132"/>
      <c r="G4" s="132"/>
      <c r="H4" s="132"/>
      <c r="I4" s="132"/>
      <c r="J4" s="132"/>
      <c r="L4" s="132" t="s">
        <v>35</v>
      </c>
      <c r="M4" s="132"/>
      <c r="N4" s="132"/>
      <c r="O4" s="132"/>
      <c r="Q4" s="132" t="s">
        <v>190</v>
      </c>
      <c r="R4" s="132"/>
      <c r="S4" s="132"/>
      <c r="T4" s="132"/>
      <c r="U4" s="132"/>
      <c r="V4" s="132"/>
      <c r="W4" s="132"/>
      <c r="X4" s="132"/>
      <c r="Y4" s="132"/>
    </row>
    <row r="5" spans="2:26" x14ac:dyDescent="0.25">
      <c r="B5" s="132"/>
      <c r="C5" s="132"/>
      <c r="D5" s="132"/>
      <c r="E5" s="132"/>
      <c r="F5" s="132"/>
      <c r="G5" s="132"/>
      <c r="H5" s="132"/>
      <c r="I5" s="132"/>
      <c r="J5" s="132"/>
      <c r="L5" s="132"/>
      <c r="M5" s="132"/>
      <c r="N5" s="132"/>
      <c r="O5" s="132"/>
      <c r="Q5" s="132"/>
      <c r="R5" s="132"/>
      <c r="S5" s="132"/>
      <c r="T5" s="132"/>
      <c r="U5" s="132"/>
      <c r="V5" s="132"/>
      <c r="W5" s="132"/>
      <c r="X5" s="132"/>
      <c r="Y5" s="132"/>
    </row>
    <row r="6" spans="2:26" x14ac:dyDescent="0.25">
      <c r="B6" s="279" t="s">
        <v>203</v>
      </c>
      <c r="C6" s="279"/>
      <c r="D6" s="279"/>
      <c r="E6" s="279"/>
      <c r="F6" s="279"/>
      <c r="G6" s="279"/>
      <c r="H6" s="279"/>
      <c r="I6" s="279"/>
      <c r="J6" s="279"/>
      <c r="L6" s="257" t="s">
        <v>204</v>
      </c>
      <c r="M6" s="257"/>
      <c r="N6" s="257"/>
      <c r="O6" s="257"/>
      <c r="Q6" s="148" t="s">
        <v>195</v>
      </c>
      <c r="R6" s="148"/>
      <c r="S6" s="148"/>
      <c r="T6" s="148"/>
      <c r="U6" s="148"/>
      <c r="V6" s="148"/>
      <c r="W6" s="148"/>
      <c r="X6" s="148"/>
      <c r="Y6" s="148"/>
      <c r="Z6" s="66" t="b">
        <v>0</v>
      </c>
    </row>
    <row r="7" spans="2:26" x14ac:dyDescent="0.25">
      <c r="B7" s="13"/>
      <c r="C7" s="14"/>
      <c r="D7" s="14"/>
      <c r="E7" s="14"/>
      <c r="F7" s="14"/>
      <c r="G7" s="14"/>
      <c r="H7" s="14"/>
      <c r="I7" s="14"/>
      <c r="J7" s="15"/>
      <c r="L7" s="257"/>
      <c r="M7" s="257"/>
      <c r="N7" s="257"/>
      <c r="O7" s="257"/>
      <c r="Q7" s="148" t="s">
        <v>158</v>
      </c>
      <c r="R7" s="148"/>
      <c r="S7" s="148"/>
      <c r="T7" s="148"/>
      <c r="U7" s="148"/>
      <c r="V7" s="148"/>
      <c r="W7" s="148"/>
      <c r="X7" s="148"/>
      <c r="Y7" s="148"/>
      <c r="Z7" s="66" t="b">
        <v>0</v>
      </c>
    </row>
    <row r="8" spans="2:26" x14ac:dyDescent="0.25">
      <c r="B8" s="6"/>
      <c r="C8" s="7"/>
      <c r="D8" s="7"/>
      <c r="E8" s="7"/>
      <c r="F8" s="7"/>
      <c r="G8" s="7"/>
      <c r="H8" s="7"/>
      <c r="I8" s="7"/>
      <c r="J8" s="8"/>
      <c r="L8" s="257"/>
      <c r="M8" s="257"/>
      <c r="N8" s="257"/>
      <c r="O8" s="257"/>
      <c r="Q8" s="257" t="s">
        <v>184</v>
      </c>
      <c r="R8" s="257"/>
      <c r="S8" s="257"/>
      <c r="T8" s="257"/>
      <c r="U8" s="257"/>
      <c r="V8" s="257"/>
      <c r="W8" s="257"/>
      <c r="X8" s="257"/>
      <c r="Y8" s="257"/>
      <c r="Z8" s="66" t="b">
        <v>0</v>
      </c>
    </row>
    <row r="9" spans="2:26" x14ac:dyDescent="0.25">
      <c r="B9" s="6"/>
      <c r="C9" s="7"/>
      <c r="D9" s="7"/>
      <c r="E9" s="7"/>
      <c r="F9" s="7"/>
      <c r="G9" s="7"/>
      <c r="H9" s="7"/>
      <c r="I9" s="7"/>
      <c r="J9" s="8"/>
      <c r="L9" s="257"/>
      <c r="M9" s="257"/>
      <c r="N9" s="257"/>
      <c r="O9" s="257"/>
      <c r="Q9" s="257"/>
      <c r="R9" s="257"/>
      <c r="S9" s="257"/>
      <c r="T9" s="257"/>
      <c r="U9" s="257"/>
      <c r="V9" s="257"/>
      <c r="W9" s="257"/>
      <c r="X9" s="257"/>
      <c r="Y9" s="257"/>
      <c r="Z9" s="66" t="b">
        <v>0</v>
      </c>
    </row>
    <row r="10" spans="2:26" ht="15" customHeight="1" x14ac:dyDescent="0.25">
      <c r="B10" s="6"/>
      <c r="C10" s="7"/>
      <c r="D10" s="7"/>
      <c r="E10" s="7"/>
      <c r="F10" s="7"/>
      <c r="G10" s="7"/>
      <c r="H10" s="7"/>
      <c r="I10" s="7"/>
      <c r="J10" s="8"/>
      <c r="L10" s="257"/>
      <c r="M10" s="257"/>
      <c r="N10" s="257"/>
      <c r="O10" s="257"/>
      <c r="Q10" s="257" t="s">
        <v>205</v>
      </c>
      <c r="R10" s="257"/>
      <c r="S10" s="257"/>
      <c r="T10" s="257"/>
      <c r="U10" s="257"/>
      <c r="V10" s="257"/>
      <c r="W10" s="257"/>
      <c r="X10" s="257"/>
      <c r="Y10" s="257"/>
      <c r="Z10" s="66" t="b">
        <v>0</v>
      </c>
    </row>
    <row r="11" spans="2:26" x14ac:dyDescent="0.25">
      <c r="B11" s="6"/>
      <c r="C11" s="7"/>
      <c r="D11" s="7"/>
      <c r="E11" s="7"/>
      <c r="F11" s="7"/>
      <c r="G11" s="7"/>
      <c r="H11" s="7"/>
      <c r="I11" s="7"/>
      <c r="J11" s="8"/>
      <c r="L11" s="257"/>
      <c r="M11" s="257"/>
      <c r="N11" s="257"/>
      <c r="O11" s="257"/>
      <c r="Q11" s="257"/>
      <c r="R11" s="257"/>
      <c r="S11" s="257"/>
      <c r="T11" s="257"/>
      <c r="U11" s="257"/>
      <c r="V11" s="257"/>
      <c r="W11" s="257"/>
      <c r="X11" s="257"/>
      <c r="Y11" s="257"/>
      <c r="Z11" s="66" t="b">
        <v>0</v>
      </c>
    </row>
    <row r="12" spans="2:26" x14ac:dyDescent="0.25">
      <c r="B12" s="6"/>
      <c r="C12" s="7"/>
      <c r="D12" s="7"/>
      <c r="E12" s="7"/>
      <c r="F12" s="7"/>
      <c r="G12" s="7"/>
      <c r="H12" s="7"/>
      <c r="I12" s="7"/>
      <c r="J12" s="8"/>
      <c r="L12" s="257"/>
      <c r="M12" s="257"/>
      <c r="N12" s="257"/>
      <c r="O12" s="257"/>
      <c r="Q12" s="257"/>
      <c r="R12" s="257"/>
      <c r="S12" s="257"/>
      <c r="T12" s="257"/>
      <c r="U12" s="257"/>
      <c r="V12" s="257"/>
      <c r="W12" s="257"/>
      <c r="X12" s="257"/>
      <c r="Y12" s="257"/>
      <c r="Z12" s="66" t="b">
        <v>0</v>
      </c>
    </row>
    <row r="13" spans="2:26" x14ac:dyDescent="0.25">
      <c r="B13" s="6"/>
      <c r="C13" s="7"/>
      <c r="D13" s="7"/>
      <c r="E13" s="7"/>
      <c r="F13" s="7"/>
      <c r="G13" s="7"/>
      <c r="H13" s="7"/>
      <c r="I13" s="7"/>
      <c r="J13" s="8"/>
      <c r="L13" s="257"/>
      <c r="M13" s="257"/>
      <c r="N13" s="257"/>
      <c r="O13" s="257"/>
      <c r="Q13" s="257"/>
      <c r="R13" s="257"/>
      <c r="S13" s="257"/>
      <c r="T13" s="257"/>
      <c r="U13" s="257"/>
      <c r="V13" s="257"/>
      <c r="W13" s="257"/>
      <c r="X13" s="257"/>
      <c r="Y13" s="257"/>
      <c r="Z13" s="66" t="b">
        <v>0</v>
      </c>
    </row>
    <row r="14" spans="2:26" x14ac:dyDescent="0.25">
      <c r="B14" s="6"/>
      <c r="C14" s="7"/>
      <c r="D14" s="7"/>
      <c r="E14" s="7"/>
      <c r="F14" s="7"/>
      <c r="G14" s="7"/>
      <c r="H14" s="7"/>
      <c r="I14" s="7"/>
      <c r="J14" s="8"/>
      <c r="L14" s="257" t="s">
        <v>199</v>
      </c>
      <c r="M14" s="257"/>
      <c r="N14" s="257"/>
      <c r="O14" s="257"/>
      <c r="Q14" s="148" t="s">
        <v>206</v>
      </c>
      <c r="R14" s="148"/>
      <c r="S14" s="148"/>
      <c r="T14" s="148"/>
      <c r="U14" s="148"/>
      <c r="V14" s="148"/>
      <c r="W14" s="148"/>
      <c r="X14" s="148"/>
      <c r="Y14" s="148"/>
      <c r="Z14" s="66" t="b">
        <v>0</v>
      </c>
    </row>
    <row r="15" spans="2:26" x14ac:dyDescent="0.25">
      <c r="B15" s="6"/>
      <c r="C15" s="7"/>
      <c r="D15" s="7"/>
      <c r="E15" s="7"/>
      <c r="F15" s="7"/>
      <c r="G15" s="7"/>
      <c r="H15" s="7"/>
      <c r="I15" s="7"/>
      <c r="J15" s="8"/>
      <c r="L15" s="257"/>
      <c r="M15" s="257"/>
      <c r="N15" s="257"/>
      <c r="O15" s="257"/>
      <c r="Q15" s="148" t="s">
        <v>57</v>
      </c>
      <c r="R15" s="148"/>
      <c r="S15" s="148"/>
      <c r="T15" s="148"/>
      <c r="U15" s="148"/>
      <c r="V15" s="148"/>
      <c r="W15" s="148"/>
      <c r="X15" s="148"/>
      <c r="Y15" s="148"/>
    </row>
    <row r="16" spans="2:26" x14ac:dyDescent="0.25">
      <c r="B16" s="6"/>
      <c r="C16" s="7"/>
      <c r="D16" s="7"/>
      <c r="E16" s="7"/>
      <c r="F16" s="7"/>
      <c r="G16" s="7"/>
      <c r="H16" s="7"/>
      <c r="I16" s="7"/>
      <c r="J16" s="8"/>
      <c r="L16" s="257"/>
      <c r="M16" s="257"/>
      <c r="N16" s="257"/>
      <c r="O16" s="257"/>
    </row>
    <row r="17" spans="2:25" ht="15.75" x14ac:dyDescent="0.25">
      <c r="B17" s="6"/>
      <c r="C17" s="7"/>
      <c r="D17" s="7"/>
      <c r="E17" s="7"/>
      <c r="F17" s="7"/>
      <c r="G17" s="7"/>
      <c r="H17" s="7"/>
      <c r="I17" s="7"/>
      <c r="J17" s="8"/>
      <c r="L17" s="257"/>
      <c r="M17" s="257"/>
      <c r="N17" s="257"/>
      <c r="O17" s="257"/>
      <c r="Q17" s="345" t="s">
        <v>255</v>
      </c>
      <c r="R17" s="345"/>
      <c r="S17" s="345"/>
      <c r="T17" s="345"/>
      <c r="U17" s="345"/>
      <c r="V17" s="345"/>
      <c r="W17" s="345"/>
      <c r="X17" s="345"/>
      <c r="Y17" s="345"/>
    </row>
    <row r="18" spans="2:25" x14ac:dyDescent="0.25">
      <c r="B18" s="9"/>
      <c r="C18" s="10"/>
      <c r="D18" s="10"/>
      <c r="E18" s="10"/>
      <c r="F18" s="10"/>
      <c r="G18" s="10"/>
      <c r="H18" s="10"/>
      <c r="I18" s="10"/>
      <c r="J18" s="11"/>
      <c r="Q18" s="346" t="s">
        <v>201</v>
      </c>
      <c r="R18" s="346"/>
      <c r="S18" s="346"/>
      <c r="T18" s="346"/>
      <c r="U18" s="346"/>
      <c r="V18" s="346"/>
      <c r="W18" s="346"/>
      <c r="X18" s="346"/>
      <c r="Y18" s="346"/>
    </row>
    <row r="19" spans="2:25" x14ac:dyDescent="0.25">
      <c r="Q19" s="346"/>
      <c r="R19" s="346"/>
      <c r="S19" s="346"/>
      <c r="T19" s="346"/>
      <c r="U19" s="346"/>
      <c r="V19" s="346"/>
      <c r="W19" s="346"/>
      <c r="X19" s="346"/>
      <c r="Y19" s="346"/>
    </row>
    <row r="20" spans="2:25" ht="15.75" x14ac:dyDescent="0.25">
      <c r="B20" s="265" t="s">
        <v>191</v>
      </c>
      <c r="C20" s="266"/>
      <c r="D20" s="266"/>
      <c r="E20" s="266"/>
      <c r="F20" s="266"/>
      <c r="G20" s="266"/>
      <c r="H20" s="266"/>
      <c r="I20" s="266"/>
      <c r="J20" s="266"/>
      <c r="K20" s="266"/>
      <c r="L20" s="266"/>
      <c r="M20" s="266"/>
      <c r="N20" s="266"/>
      <c r="O20" s="267"/>
    </row>
    <row r="21" spans="2:25" ht="15.75" x14ac:dyDescent="0.25">
      <c r="B21" s="263" t="s">
        <v>207</v>
      </c>
      <c r="C21" s="263" t="s">
        <v>208</v>
      </c>
      <c r="D21" s="263" t="s">
        <v>209</v>
      </c>
      <c r="E21" s="263" t="s">
        <v>210</v>
      </c>
      <c r="F21" s="263" t="s">
        <v>211</v>
      </c>
      <c r="G21" s="263" t="s">
        <v>212</v>
      </c>
      <c r="H21" s="263" t="s">
        <v>213</v>
      </c>
      <c r="I21" s="263" t="s">
        <v>214</v>
      </c>
      <c r="J21" s="263" t="s">
        <v>215</v>
      </c>
      <c r="K21" s="263" t="s">
        <v>216</v>
      </c>
      <c r="L21" s="263" t="s">
        <v>217</v>
      </c>
      <c r="M21" s="263" t="s">
        <v>218</v>
      </c>
      <c r="N21" s="263" t="s">
        <v>219</v>
      </c>
      <c r="O21" s="263" t="s">
        <v>220</v>
      </c>
      <c r="Q21" s="126" t="s">
        <v>43</v>
      </c>
      <c r="R21" s="126"/>
      <c r="S21" s="126" t="s">
        <v>78</v>
      </c>
      <c r="T21" s="126"/>
    </row>
    <row r="22" spans="2:25" x14ac:dyDescent="0.25">
      <c r="B22" s="263"/>
      <c r="C22" s="263"/>
      <c r="D22" s="263"/>
      <c r="E22" s="263"/>
      <c r="F22" s="263"/>
      <c r="G22" s="263"/>
      <c r="H22" s="263"/>
      <c r="I22" s="263"/>
      <c r="J22" s="263"/>
      <c r="K22" s="263"/>
      <c r="L22" s="263"/>
      <c r="M22" s="263"/>
      <c r="N22" s="263"/>
      <c r="O22" s="263"/>
      <c r="Q22" s="288">
        <f>SUM(B32:O32)</f>
        <v>0</v>
      </c>
      <c r="R22" s="288"/>
      <c r="S22" s="131">
        <f>Kezdőlap!E41</f>
        <v>7300</v>
      </c>
      <c r="T22" s="131"/>
    </row>
    <row r="23" spans="2:25" x14ac:dyDescent="0.25">
      <c r="B23" s="263"/>
      <c r="C23" s="263"/>
      <c r="D23" s="263"/>
      <c r="E23" s="263"/>
      <c r="F23" s="263"/>
      <c r="G23" s="263"/>
      <c r="H23" s="263"/>
      <c r="I23" s="263"/>
      <c r="J23" s="263"/>
      <c r="K23" s="263"/>
      <c r="L23" s="263"/>
      <c r="M23" s="263"/>
      <c r="N23" s="263"/>
      <c r="O23" s="263"/>
      <c r="Q23" s="288"/>
      <c r="R23" s="288"/>
      <c r="S23" s="131"/>
      <c r="T23" s="131"/>
    </row>
    <row r="24" spans="2:25" x14ac:dyDescent="0.25">
      <c r="B24" s="263"/>
      <c r="C24" s="263"/>
      <c r="D24" s="263"/>
      <c r="E24" s="263"/>
      <c r="F24" s="263"/>
      <c r="G24" s="263"/>
      <c r="H24" s="263"/>
      <c r="I24" s="263"/>
      <c r="J24" s="263"/>
      <c r="K24" s="263"/>
      <c r="L24" s="263"/>
      <c r="M24" s="263"/>
      <c r="N24" s="263"/>
      <c r="O24" s="263"/>
      <c r="Q24" s="288"/>
      <c r="R24" s="288"/>
      <c r="S24" s="131"/>
      <c r="T24" s="131"/>
    </row>
    <row r="25" spans="2:25" x14ac:dyDescent="0.25">
      <c r="B25" s="263"/>
      <c r="C25" s="263"/>
      <c r="D25" s="263"/>
      <c r="E25" s="263"/>
      <c r="F25" s="263"/>
      <c r="G25" s="263"/>
      <c r="H25" s="263"/>
      <c r="I25" s="263"/>
      <c r="J25" s="263"/>
      <c r="K25" s="263"/>
      <c r="L25" s="263"/>
      <c r="M25" s="263"/>
      <c r="N25" s="263"/>
      <c r="O25" s="263"/>
      <c r="Q25" s="288"/>
      <c r="R25" s="288"/>
      <c r="S25" s="131"/>
      <c r="T25" s="131"/>
    </row>
    <row r="26" spans="2:25" x14ac:dyDescent="0.25">
      <c r="B26" s="263"/>
      <c r="C26" s="263"/>
      <c r="D26" s="263"/>
      <c r="E26" s="263"/>
      <c r="F26" s="263"/>
      <c r="G26" s="263"/>
      <c r="H26" s="263"/>
      <c r="I26" s="263"/>
      <c r="J26" s="263"/>
      <c r="K26" s="263"/>
      <c r="L26" s="263"/>
      <c r="M26" s="263"/>
      <c r="N26" s="263"/>
      <c r="O26" s="263"/>
      <c r="Q26" s="288"/>
      <c r="R26" s="288"/>
      <c r="S26" s="131"/>
      <c r="T26" s="131"/>
    </row>
    <row r="27" spans="2:25" x14ac:dyDescent="0.25">
      <c r="B27" s="263"/>
      <c r="C27" s="263"/>
      <c r="D27" s="263"/>
      <c r="E27" s="263"/>
      <c r="F27" s="263"/>
      <c r="G27" s="263"/>
      <c r="H27" s="263"/>
      <c r="I27" s="263"/>
      <c r="J27" s="263"/>
      <c r="K27" s="263"/>
      <c r="L27" s="263"/>
      <c r="M27" s="263"/>
      <c r="N27" s="263"/>
      <c r="O27" s="263"/>
      <c r="Q27" s="288"/>
      <c r="R27" s="288"/>
      <c r="S27" s="131"/>
      <c r="T27" s="131"/>
    </row>
    <row r="28" spans="2:25" x14ac:dyDescent="0.25">
      <c r="B28" s="263"/>
      <c r="C28" s="263"/>
      <c r="D28" s="263"/>
      <c r="E28" s="263"/>
      <c r="F28" s="263"/>
      <c r="G28" s="263"/>
      <c r="H28" s="263"/>
      <c r="I28" s="263"/>
      <c r="J28" s="263"/>
      <c r="K28" s="263"/>
      <c r="L28" s="263"/>
      <c r="M28" s="263"/>
      <c r="N28" s="263"/>
      <c r="O28" s="263"/>
      <c r="Q28" s="288"/>
      <c r="R28" s="288"/>
      <c r="S28" s="131"/>
      <c r="T28" s="131"/>
    </row>
    <row r="29" spans="2:25" x14ac:dyDescent="0.25">
      <c r="B29" s="263"/>
      <c r="C29" s="263"/>
      <c r="D29" s="263"/>
      <c r="E29" s="263"/>
      <c r="F29" s="263"/>
      <c r="G29" s="263"/>
      <c r="H29" s="263"/>
      <c r="I29" s="263"/>
      <c r="J29" s="263"/>
      <c r="K29" s="263"/>
      <c r="L29" s="263"/>
      <c r="M29" s="263"/>
      <c r="N29" s="263"/>
      <c r="O29" s="263"/>
      <c r="Q29" s="288"/>
      <c r="R29" s="288"/>
      <c r="S29" s="131"/>
      <c r="T29" s="131"/>
    </row>
    <row r="30" spans="2:25" x14ac:dyDescent="0.25">
      <c r="B30" s="263"/>
      <c r="C30" s="263"/>
      <c r="D30" s="263"/>
      <c r="E30" s="263"/>
      <c r="F30" s="263"/>
      <c r="G30" s="263"/>
      <c r="H30" s="263"/>
      <c r="I30" s="263"/>
      <c r="J30" s="263"/>
      <c r="K30" s="263"/>
      <c r="L30" s="263"/>
      <c r="M30" s="263"/>
      <c r="N30" s="263"/>
      <c r="O30" s="263"/>
    </row>
    <row r="31" spans="2:25" ht="15.75" x14ac:dyDescent="0.25">
      <c r="B31" s="43" t="str">
        <f>IF(Z6=TRUE,"Vizsga","-")</f>
        <v>-</v>
      </c>
      <c r="C31" s="43" t="str">
        <f>IF(Z7=TRUE,"Vizsga","-")</f>
        <v>-</v>
      </c>
      <c r="D31" s="43" t="str">
        <f>IF(Z8=TRUE,"Vizsga","-")</f>
        <v>-</v>
      </c>
      <c r="E31" s="43" t="str">
        <f>IF(Z8=TRUE,"Vizsga","-")</f>
        <v>-</v>
      </c>
      <c r="F31" s="43" t="str">
        <f>IF(Z9=TRUE,"Vizsga","-")</f>
        <v>-</v>
      </c>
      <c r="G31" s="43" t="str">
        <f>IF(Z9=TRUE,"Vizsga","-")</f>
        <v>-</v>
      </c>
      <c r="H31" s="43" t="str">
        <f>IF(Z10=TRUE,"Vizsga","-")</f>
        <v>-</v>
      </c>
      <c r="I31" s="43" t="str">
        <f>IF(Z10=TRUE,"Vizsga","-")</f>
        <v>-</v>
      </c>
      <c r="J31" s="43" t="str">
        <f>IF(Z11=TRUE,"Vizsga","-")</f>
        <v>-</v>
      </c>
      <c r="K31" s="43" t="str">
        <f>IF(Z11=TRUE,"Vizsga","-")</f>
        <v>-</v>
      </c>
      <c r="L31" s="43" t="str">
        <f>IF(Z12=TRUE,"Vizsga","-")</f>
        <v>-</v>
      </c>
      <c r="M31" s="43" t="str">
        <f>IF(Z12=TRUE,"Vizsga","-")</f>
        <v>-</v>
      </c>
      <c r="N31" s="43" t="str">
        <f>IF(Z13=TRUE,"Vizsga","-")</f>
        <v>-</v>
      </c>
      <c r="O31" s="43" t="str">
        <f>IF(Z14=TRUE,"Vizsga","-")</f>
        <v>-</v>
      </c>
    </row>
    <row r="32" spans="2:25" ht="15.75" x14ac:dyDescent="0.25">
      <c r="B32" s="39">
        <f>IF(Z6=TRUE,Kezdőlap!E35,0)</f>
        <v>0</v>
      </c>
      <c r="C32" s="39">
        <f>IF(Z7=TRUE,Kezdőlap!E35,0)</f>
        <v>0</v>
      </c>
      <c r="D32" s="39">
        <f>IF(Z8=TRUE,Kezdőlap!E35,0)</f>
        <v>0</v>
      </c>
      <c r="E32" s="39">
        <f>IF(Z8=TRUE,Kezdőlap!E37,0)</f>
        <v>0</v>
      </c>
      <c r="F32" s="39">
        <f>IF(Z9=TRUE,Kezdőlap!E35,0)</f>
        <v>0</v>
      </c>
      <c r="G32" s="39">
        <f>IF(Z9=TRUE,Kezdőlap!E37,0)</f>
        <v>0</v>
      </c>
      <c r="H32" s="39">
        <f>IF(Z10=TRUE,Kezdőlap!E35,0)</f>
        <v>0</v>
      </c>
      <c r="I32" s="39">
        <f>IF(Z10=TRUE,Kezdőlap!E37,0)</f>
        <v>0</v>
      </c>
      <c r="J32" s="39">
        <f>IF(Z11=TRUE,Kezdőlap!E35,0)</f>
        <v>0</v>
      </c>
      <c r="K32" s="39">
        <f>IF(Z11=TRUE,Kezdőlap!E37,0)</f>
        <v>0</v>
      </c>
      <c r="L32" s="39">
        <f>IF(Z12=TRUE,Kezdőlap!E35,0)</f>
        <v>0</v>
      </c>
      <c r="M32" s="39">
        <f>IF(Z12=TRUE,Kezdőlap!E37,0)</f>
        <v>0</v>
      </c>
      <c r="N32" s="39">
        <f>IF(Z13=TRUE,Kezdőlap!E35,0)</f>
        <v>0</v>
      </c>
      <c r="O32" s="39">
        <f>IF(Z14=TRUE,Kezdőlap!E35,0)</f>
        <v>0</v>
      </c>
    </row>
  </sheetData>
  <sheetProtection sheet="1" objects="1" scenarios="1" selectLockedCells="1"/>
  <mergeCells count="33">
    <mergeCell ref="Q14:Y14"/>
    <mergeCell ref="Q15:Y15"/>
    <mergeCell ref="Q17:Y17"/>
    <mergeCell ref="S21:T21"/>
    <mergeCell ref="Q22:R29"/>
    <mergeCell ref="S22:T29"/>
    <mergeCell ref="Q18:Y19"/>
    <mergeCell ref="Q21:R21"/>
    <mergeCell ref="L21:L30"/>
    <mergeCell ref="M21:M30"/>
    <mergeCell ref="B20:O20"/>
    <mergeCell ref="G21:G30"/>
    <mergeCell ref="H21:H30"/>
    <mergeCell ref="I21:I30"/>
    <mergeCell ref="J21:J30"/>
    <mergeCell ref="K21:K30"/>
    <mergeCell ref="B21:B30"/>
    <mergeCell ref="C21:C30"/>
    <mergeCell ref="D21:D30"/>
    <mergeCell ref="E21:E30"/>
    <mergeCell ref="F21:F30"/>
    <mergeCell ref="N21:N30"/>
    <mergeCell ref="O21:O30"/>
    <mergeCell ref="B4:J5"/>
    <mergeCell ref="B6:J6"/>
    <mergeCell ref="L4:O5"/>
    <mergeCell ref="L6:O13"/>
    <mergeCell ref="L14:O17"/>
    <mergeCell ref="Q4:Y5"/>
    <mergeCell ref="Q6:Y6"/>
    <mergeCell ref="Q7:Y7"/>
    <mergeCell ref="Q8:Y9"/>
    <mergeCell ref="Q10:Y13"/>
  </mergeCells>
  <conditionalFormatting sqref="B31:O31">
    <cfRule type="containsText" dxfId="39" priority="1" operator="containsText" text="Vizsga">
      <formula>NOT(ISERROR(SEARCH("Vizsga",B31)))</formula>
    </cfRule>
  </conditionalFormatting>
  <pageMargins left="0.7" right="0.7" top="0.75" bottom="0.75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0961" r:id="rId4" name="Check Box 1">
              <controlPr defaultSize="0" autoFill="0" autoLine="0" autoPict="0">
                <anchor moveWithCells="1">
                  <from>
                    <xdr:col>1</xdr:col>
                    <xdr:colOff>66675</xdr:colOff>
                    <xdr:row>12</xdr:row>
                    <xdr:rowOff>104775</xdr:rowOff>
                  </from>
                  <to>
                    <xdr:col>4</xdr:col>
                    <xdr:colOff>704850</xdr:colOff>
                    <xdr:row>14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62" r:id="rId5" name="Check Box 2">
              <controlPr defaultSize="0" autoFill="0" autoLine="0" autoPict="0">
                <anchor moveWithCells="1">
                  <from>
                    <xdr:col>1</xdr:col>
                    <xdr:colOff>66675</xdr:colOff>
                    <xdr:row>11</xdr:row>
                    <xdr:rowOff>9525</xdr:rowOff>
                  </from>
                  <to>
                    <xdr:col>4</xdr:col>
                    <xdr:colOff>676275</xdr:colOff>
                    <xdr:row>12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63" r:id="rId6" name="Check Box 3">
              <controlPr defaultSize="0" autoFill="0" autoLine="0" autoPict="0">
                <anchor moveWithCells="1">
                  <from>
                    <xdr:col>1</xdr:col>
                    <xdr:colOff>66675</xdr:colOff>
                    <xdr:row>9</xdr:row>
                    <xdr:rowOff>95250</xdr:rowOff>
                  </from>
                  <to>
                    <xdr:col>4</xdr:col>
                    <xdr:colOff>657225</xdr:colOff>
                    <xdr:row>10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64" r:id="rId7" name="Check Box 4">
              <controlPr defaultSize="0" autoFill="0" autoLine="0" autoPict="0">
                <anchor moveWithCells="1">
                  <from>
                    <xdr:col>1</xdr:col>
                    <xdr:colOff>66675</xdr:colOff>
                    <xdr:row>14</xdr:row>
                    <xdr:rowOff>38100</xdr:rowOff>
                  </from>
                  <to>
                    <xdr:col>4</xdr:col>
                    <xdr:colOff>704850</xdr:colOff>
                    <xdr:row>15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65" r:id="rId8" name="Check Box 5">
              <controlPr defaultSize="0" autoFill="0" autoLine="0" autoPict="0">
                <anchor moveWithCells="1">
                  <from>
                    <xdr:col>1</xdr:col>
                    <xdr:colOff>66675</xdr:colOff>
                    <xdr:row>15</xdr:row>
                    <xdr:rowOff>133350</xdr:rowOff>
                  </from>
                  <to>
                    <xdr:col>4</xdr:col>
                    <xdr:colOff>704850</xdr:colOff>
                    <xdr:row>16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66" r:id="rId9" name="Check Box 6">
              <controlPr defaultSize="0" autoFill="0" autoLine="0" autoPict="0">
                <anchor moveWithCells="1">
                  <from>
                    <xdr:col>5</xdr:col>
                    <xdr:colOff>333375</xdr:colOff>
                    <xdr:row>6</xdr:row>
                    <xdr:rowOff>95250</xdr:rowOff>
                  </from>
                  <to>
                    <xdr:col>9</xdr:col>
                    <xdr:colOff>28575</xdr:colOff>
                    <xdr:row>7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67" r:id="rId10" name="Check Box 7">
              <controlPr defaultSize="0" autoFill="0" autoLine="0" autoPict="0">
                <anchor moveWithCells="1">
                  <from>
                    <xdr:col>5</xdr:col>
                    <xdr:colOff>333375</xdr:colOff>
                    <xdr:row>8</xdr:row>
                    <xdr:rowOff>38100</xdr:rowOff>
                  </from>
                  <to>
                    <xdr:col>9</xdr:col>
                    <xdr:colOff>28575</xdr:colOff>
                    <xdr:row>9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68" r:id="rId11" name="Check Box 8">
              <controlPr defaultSize="0" autoFill="0" autoLine="0" autoPict="0">
                <anchor moveWithCells="1">
                  <from>
                    <xdr:col>1</xdr:col>
                    <xdr:colOff>66675</xdr:colOff>
                    <xdr:row>6</xdr:row>
                    <xdr:rowOff>95250</xdr:rowOff>
                  </from>
                  <to>
                    <xdr:col>4</xdr:col>
                    <xdr:colOff>657225</xdr:colOff>
                    <xdr:row>7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69" r:id="rId12" name="Check Box 9">
              <controlPr defaultSize="0" autoFill="0" autoLine="0" autoPict="0">
                <anchor moveWithCells="1">
                  <from>
                    <xdr:col>1</xdr:col>
                    <xdr:colOff>66675</xdr:colOff>
                    <xdr:row>7</xdr:row>
                    <xdr:rowOff>190500</xdr:rowOff>
                  </from>
                  <to>
                    <xdr:col>4</xdr:col>
                    <xdr:colOff>657225</xdr:colOff>
                    <xdr:row>9</xdr:row>
                    <xdr:rowOff>57150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F0846F-DEF1-402B-BD44-659F7F67E168}">
  <sheetPr codeName="Munka27">
    <tabColor rgb="FFFFC000"/>
  </sheetPr>
  <dimension ref="B1:W31"/>
  <sheetViews>
    <sheetView showGridLines="0" showRowColHeaders="0" workbookViewId="0">
      <selection activeCell="Y20" sqref="Y20"/>
    </sheetView>
  </sheetViews>
  <sheetFormatPr defaultRowHeight="15" x14ac:dyDescent="0.25"/>
  <cols>
    <col min="2" max="2" width="10.5703125" customWidth="1"/>
    <col min="3" max="3" width="10.140625" customWidth="1"/>
    <col min="4" max="4" width="10.42578125" customWidth="1"/>
    <col min="5" max="5" width="11" customWidth="1"/>
    <col min="6" max="6" width="11.5703125" customWidth="1"/>
    <col min="7" max="7" width="9.85546875" customWidth="1"/>
    <col min="8" max="8" width="10.140625" customWidth="1"/>
    <col min="9" max="9" width="11" customWidth="1"/>
    <col min="22" max="22" width="9.140625" hidden="1" customWidth="1"/>
  </cols>
  <sheetData>
    <row r="1" spans="2:22" x14ac:dyDescent="0.25">
      <c r="V1" s="66"/>
    </row>
    <row r="2" spans="2:22" x14ac:dyDescent="0.25">
      <c r="V2" s="66"/>
    </row>
    <row r="3" spans="2:22" x14ac:dyDescent="0.25">
      <c r="V3" s="66"/>
    </row>
    <row r="4" spans="2:22" x14ac:dyDescent="0.25">
      <c r="B4" s="164" t="s">
        <v>222</v>
      </c>
      <c r="C4" s="150"/>
      <c r="D4" s="150"/>
      <c r="E4" s="150"/>
      <c r="F4" s="150"/>
      <c r="G4" s="150"/>
      <c r="H4" s="151"/>
      <c r="J4" s="149" t="s">
        <v>35</v>
      </c>
      <c r="K4" s="150"/>
      <c r="L4" s="150"/>
      <c r="M4" s="151"/>
      <c r="O4" s="132" t="s">
        <v>190</v>
      </c>
      <c r="P4" s="132"/>
      <c r="Q4" s="132"/>
      <c r="R4" s="132"/>
      <c r="S4" s="132"/>
      <c r="T4" s="132"/>
      <c r="U4" s="132"/>
      <c r="V4" s="66"/>
    </row>
    <row r="5" spans="2:22" ht="15.75" customHeight="1" x14ac:dyDescent="0.25">
      <c r="B5" s="152"/>
      <c r="C5" s="153"/>
      <c r="D5" s="153"/>
      <c r="E5" s="153"/>
      <c r="F5" s="153"/>
      <c r="G5" s="153"/>
      <c r="H5" s="154"/>
      <c r="J5" s="152"/>
      <c r="K5" s="153"/>
      <c r="L5" s="153"/>
      <c r="M5" s="154"/>
      <c r="O5" s="132"/>
      <c r="P5" s="132"/>
      <c r="Q5" s="132"/>
      <c r="R5" s="132"/>
      <c r="S5" s="132"/>
      <c r="T5" s="132"/>
      <c r="U5" s="132"/>
      <c r="V5" s="66"/>
    </row>
    <row r="6" spans="2:22" x14ac:dyDescent="0.25">
      <c r="B6" s="254" t="s">
        <v>203</v>
      </c>
      <c r="C6" s="255"/>
      <c r="D6" s="255"/>
      <c r="E6" s="255"/>
      <c r="F6" s="255"/>
      <c r="G6" s="255"/>
      <c r="H6" s="256"/>
      <c r="J6" s="233" t="s">
        <v>223</v>
      </c>
      <c r="K6" s="233"/>
      <c r="L6" s="233"/>
      <c r="M6" s="233"/>
      <c r="O6" s="191" t="s">
        <v>195</v>
      </c>
      <c r="P6" s="191"/>
      <c r="Q6" s="191"/>
      <c r="R6" s="191"/>
      <c r="S6" s="191"/>
      <c r="T6" s="191"/>
      <c r="U6" s="191"/>
      <c r="V6" s="66" t="b">
        <v>0</v>
      </c>
    </row>
    <row r="7" spans="2:22" x14ac:dyDescent="0.25">
      <c r="B7" s="13"/>
      <c r="C7" s="14"/>
      <c r="D7" s="14"/>
      <c r="E7" s="14"/>
      <c r="F7" s="14"/>
      <c r="G7" s="14"/>
      <c r="H7" s="15"/>
      <c r="J7" s="236"/>
      <c r="K7" s="236"/>
      <c r="L7" s="236"/>
      <c r="M7" s="236"/>
      <c r="O7" s="272" t="s">
        <v>224</v>
      </c>
      <c r="P7" s="272"/>
      <c r="Q7" s="272"/>
      <c r="R7" s="272"/>
      <c r="S7" s="272"/>
      <c r="T7" s="272"/>
      <c r="U7" s="272"/>
      <c r="V7" s="66" t="b">
        <v>0</v>
      </c>
    </row>
    <row r="8" spans="2:22" x14ac:dyDescent="0.25">
      <c r="B8" s="6"/>
      <c r="C8" s="7"/>
      <c r="D8" s="7"/>
      <c r="E8" s="7"/>
      <c r="F8" s="7"/>
      <c r="G8" s="7"/>
      <c r="H8" s="8"/>
      <c r="J8" s="236"/>
      <c r="K8" s="236"/>
      <c r="L8" s="236"/>
      <c r="M8" s="236"/>
      <c r="O8" s="272"/>
      <c r="P8" s="272"/>
      <c r="Q8" s="272"/>
      <c r="R8" s="272"/>
      <c r="S8" s="272"/>
      <c r="T8" s="272"/>
      <c r="U8" s="272"/>
      <c r="V8" s="66" t="b">
        <v>0</v>
      </c>
    </row>
    <row r="9" spans="2:22" x14ac:dyDescent="0.25">
      <c r="B9" s="6"/>
      <c r="C9" s="7"/>
      <c r="D9" s="7"/>
      <c r="E9" s="7"/>
      <c r="F9" s="7"/>
      <c r="G9" s="7"/>
      <c r="H9" s="8"/>
      <c r="J9" s="236"/>
      <c r="K9" s="236"/>
      <c r="L9" s="236"/>
      <c r="M9" s="236"/>
      <c r="O9" s="272"/>
      <c r="P9" s="272"/>
      <c r="Q9" s="272"/>
      <c r="R9" s="272"/>
      <c r="S9" s="272"/>
      <c r="T9" s="272"/>
      <c r="U9" s="272"/>
      <c r="V9" s="66" t="b">
        <v>0</v>
      </c>
    </row>
    <row r="10" spans="2:22" x14ac:dyDescent="0.25">
      <c r="B10" s="6"/>
      <c r="C10" s="7"/>
      <c r="D10" s="7"/>
      <c r="E10" s="7"/>
      <c r="F10" s="7"/>
      <c r="G10" s="7"/>
      <c r="H10" s="8"/>
      <c r="J10" s="236"/>
      <c r="K10" s="236"/>
      <c r="L10" s="236"/>
      <c r="M10" s="236"/>
      <c r="O10" s="191" t="s">
        <v>158</v>
      </c>
      <c r="P10" s="191"/>
      <c r="Q10" s="191"/>
      <c r="R10" s="191"/>
      <c r="S10" s="191"/>
      <c r="T10" s="191"/>
      <c r="U10" s="191"/>
      <c r="V10" s="66" t="b">
        <v>0</v>
      </c>
    </row>
    <row r="11" spans="2:22" x14ac:dyDescent="0.25">
      <c r="B11" s="6"/>
      <c r="C11" s="7"/>
      <c r="D11" s="7"/>
      <c r="E11" s="7"/>
      <c r="F11" s="7"/>
      <c r="G11" s="7"/>
      <c r="H11" s="8"/>
      <c r="J11" s="236"/>
      <c r="K11" s="236"/>
      <c r="L11" s="236"/>
      <c r="M11" s="236"/>
      <c r="O11" s="257" t="s">
        <v>184</v>
      </c>
      <c r="P11" s="257"/>
      <c r="Q11" s="257"/>
      <c r="R11" s="257"/>
      <c r="S11" s="257"/>
      <c r="T11" s="257"/>
      <c r="U11" s="257"/>
      <c r="V11" s="66" t="b">
        <v>0</v>
      </c>
    </row>
    <row r="12" spans="2:22" x14ac:dyDescent="0.25">
      <c r="B12" s="6"/>
      <c r="C12" s="7"/>
      <c r="D12" s="7"/>
      <c r="E12" s="7"/>
      <c r="F12" s="7"/>
      <c r="G12" s="7"/>
      <c r="H12" s="8"/>
      <c r="O12" s="257"/>
      <c r="P12" s="257"/>
      <c r="Q12" s="257"/>
      <c r="R12" s="257"/>
      <c r="S12" s="257"/>
      <c r="T12" s="257"/>
      <c r="U12" s="257"/>
      <c r="V12" s="66" t="b">
        <v>0</v>
      </c>
    </row>
    <row r="13" spans="2:22" x14ac:dyDescent="0.25">
      <c r="B13" s="6"/>
      <c r="C13" s="7"/>
      <c r="D13" s="7"/>
      <c r="E13" s="7"/>
      <c r="F13" s="7"/>
      <c r="G13" s="7"/>
      <c r="H13" s="8"/>
      <c r="O13" s="257"/>
      <c r="P13" s="257"/>
      <c r="Q13" s="257"/>
      <c r="R13" s="257"/>
      <c r="S13" s="257"/>
      <c r="T13" s="257"/>
      <c r="U13" s="257"/>
      <c r="V13" s="66" t="b">
        <v>0</v>
      </c>
    </row>
    <row r="14" spans="2:22" x14ac:dyDescent="0.25">
      <c r="B14" s="6"/>
      <c r="C14" s="7"/>
      <c r="D14" s="7"/>
      <c r="E14" s="7"/>
      <c r="F14" s="7"/>
      <c r="G14" s="7"/>
      <c r="H14" s="8"/>
      <c r="O14" s="272" t="s">
        <v>225</v>
      </c>
      <c r="P14" s="272"/>
      <c r="Q14" s="272"/>
      <c r="R14" s="272"/>
      <c r="S14" s="272"/>
      <c r="T14" s="272"/>
      <c r="U14" s="272"/>
      <c r="V14" s="66"/>
    </row>
    <row r="15" spans="2:22" x14ac:dyDescent="0.25">
      <c r="B15" s="6"/>
      <c r="C15" s="7"/>
      <c r="D15" s="7"/>
      <c r="E15" s="7"/>
      <c r="F15" s="7"/>
      <c r="G15" s="7"/>
      <c r="H15" s="8"/>
      <c r="O15" s="272"/>
      <c r="P15" s="272"/>
      <c r="Q15" s="272"/>
      <c r="R15" s="272"/>
      <c r="S15" s="272"/>
      <c r="T15" s="272"/>
      <c r="U15" s="272"/>
      <c r="V15" s="66"/>
    </row>
    <row r="16" spans="2:22" x14ac:dyDescent="0.25">
      <c r="B16" s="6"/>
      <c r="C16" s="7"/>
      <c r="D16" s="7"/>
      <c r="E16" s="7"/>
      <c r="F16" s="7"/>
      <c r="G16" s="7"/>
      <c r="H16" s="8"/>
      <c r="O16" s="191" t="s">
        <v>206</v>
      </c>
      <c r="P16" s="191"/>
      <c r="Q16" s="191"/>
      <c r="R16" s="191"/>
      <c r="S16" s="191"/>
      <c r="T16" s="191"/>
      <c r="U16" s="191"/>
      <c r="V16" s="66"/>
    </row>
    <row r="17" spans="2:23" x14ac:dyDescent="0.25">
      <c r="B17" s="6"/>
      <c r="C17" s="7"/>
      <c r="D17" s="7"/>
      <c r="E17" s="7"/>
      <c r="F17" s="7"/>
      <c r="G17" s="7"/>
      <c r="H17" s="8"/>
      <c r="O17" s="191" t="s">
        <v>57</v>
      </c>
      <c r="P17" s="191"/>
      <c r="Q17" s="191"/>
      <c r="R17" s="191"/>
      <c r="S17" s="191"/>
      <c r="T17" s="191"/>
      <c r="U17" s="191"/>
      <c r="V17" s="66"/>
    </row>
    <row r="18" spans="2:23" x14ac:dyDescent="0.25">
      <c r="B18" s="9"/>
      <c r="C18" s="10"/>
      <c r="D18" s="10"/>
      <c r="E18" s="10"/>
      <c r="F18" s="10"/>
      <c r="G18" s="10"/>
      <c r="H18" s="11"/>
    </row>
    <row r="19" spans="2:23" ht="15.75" x14ac:dyDescent="0.25">
      <c r="O19" s="345" t="s">
        <v>255</v>
      </c>
      <c r="P19" s="345"/>
      <c r="Q19" s="345"/>
      <c r="R19" s="345"/>
      <c r="S19" s="345"/>
      <c r="T19" s="345"/>
      <c r="U19" s="345"/>
      <c r="V19" s="345"/>
      <c r="W19" s="345"/>
    </row>
    <row r="20" spans="2:23" ht="15.75" x14ac:dyDescent="0.25">
      <c r="B20" s="125" t="s">
        <v>191</v>
      </c>
      <c r="C20" s="125"/>
      <c r="D20" s="125"/>
      <c r="E20" s="125"/>
      <c r="F20" s="125"/>
      <c r="G20" s="125"/>
      <c r="H20" s="125"/>
      <c r="I20" s="125"/>
      <c r="O20" s="346" t="s">
        <v>201</v>
      </c>
      <c r="P20" s="346"/>
      <c r="Q20" s="346"/>
      <c r="R20" s="346"/>
      <c r="S20" s="346"/>
      <c r="T20" s="346"/>
      <c r="U20" s="346"/>
      <c r="V20" s="346"/>
      <c r="W20" s="346"/>
    </row>
    <row r="21" spans="2:23" x14ac:dyDescent="0.25">
      <c r="B21" s="273" t="s">
        <v>226</v>
      </c>
      <c r="C21" s="273" t="s">
        <v>227</v>
      </c>
      <c r="D21" s="273" t="s">
        <v>228</v>
      </c>
      <c r="E21" s="273" t="s">
        <v>229</v>
      </c>
      <c r="F21" s="273" t="s">
        <v>230</v>
      </c>
      <c r="G21" s="273" t="s">
        <v>231</v>
      </c>
      <c r="H21" s="273" t="s">
        <v>232</v>
      </c>
      <c r="I21" s="273" t="s">
        <v>233</v>
      </c>
      <c r="O21" s="346"/>
      <c r="P21" s="346"/>
      <c r="Q21" s="346"/>
      <c r="R21" s="346"/>
      <c r="S21" s="346"/>
      <c r="T21" s="346"/>
      <c r="U21" s="346"/>
      <c r="V21" s="346"/>
      <c r="W21" s="346"/>
    </row>
    <row r="22" spans="2:23" x14ac:dyDescent="0.25">
      <c r="B22" s="273"/>
      <c r="C22" s="273"/>
      <c r="D22" s="273"/>
      <c r="E22" s="273"/>
      <c r="F22" s="273"/>
      <c r="G22" s="273"/>
      <c r="H22" s="273"/>
      <c r="I22" s="273"/>
    </row>
    <row r="23" spans="2:23" ht="15.75" x14ac:dyDescent="0.25">
      <c r="B23" s="273"/>
      <c r="C23" s="273"/>
      <c r="D23" s="273"/>
      <c r="E23" s="273"/>
      <c r="F23" s="273"/>
      <c r="G23" s="273"/>
      <c r="H23" s="273"/>
      <c r="I23" s="273"/>
      <c r="K23" s="125" t="s">
        <v>43</v>
      </c>
      <c r="L23" s="125"/>
      <c r="M23" s="125" t="s">
        <v>78</v>
      </c>
      <c r="N23" s="125"/>
    </row>
    <row r="24" spans="2:23" x14ac:dyDescent="0.25">
      <c r="B24" s="273"/>
      <c r="C24" s="273"/>
      <c r="D24" s="273"/>
      <c r="E24" s="273"/>
      <c r="F24" s="273"/>
      <c r="G24" s="273"/>
      <c r="H24" s="273"/>
      <c r="I24" s="273"/>
      <c r="K24" s="288">
        <f>SUM(B31:I31)</f>
        <v>0</v>
      </c>
      <c r="L24" s="288"/>
      <c r="M24" s="131">
        <f>Kezdőlap!E41</f>
        <v>7300</v>
      </c>
      <c r="N24" s="131"/>
    </row>
    <row r="25" spans="2:23" x14ac:dyDescent="0.25">
      <c r="B25" s="273"/>
      <c r="C25" s="273"/>
      <c r="D25" s="273"/>
      <c r="E25" s="273"/>
      <c r="F25" s="273"/>
      <c r="G25" s="273"/>
      <c r="H25" s="273"/>
      <c r="I25" s="273"/>
      <c r="K25" s="288"/>
      <c r="L25" s="288"/>
      <c r="M25" s="131"/>
      <c r="N25" s="131"/>
    </row>
    <row r="26" spans="2:23" x14ac:dyDescent="0.25">
      <c r="B26" s="273"/>
      <c r="C26" s="273"/>
      <c r="D26" s="273"/>
      <c r="E26" s="273"/>
      <c r="F26" s="273"/>
      <c r="G26" s="273"/>
      <c r="H26" s="273"/>
      <c r="I26" s="273"/>
      <c r="K26" s="288"/>
      <c r="L26" s="288"/>
      <c r="M26" s="131"/>
      <c r="N26" s="131"/>
    </row>
    <row r="27" spans="2:23" x14ac:dyDescent="0.25">
      <c r="B27" s="273"/>
      <c r="C27" s="273"/>
      <c r="D27" s="273"/>
      <c r="E27" s="273"/>
      <c r="F27" s="273"/>
      <c r="G27" s="273"/>
      <c r="H27" s="273"/>
      <c r="I27" s="273"/>
      <c r="K27" s="288"/>
      <c r="L27" s="288"/>
      <c r="M27" s="131"/>
      <c r="N27" s="131"/>
    </row>
    <row r="28" spans="2:23" x14ac:dyDescent="0.25">
      <c r="B28" s="273"/>
      <c r="C28" s="273"/>
      <c r="D28" s="273"/>
      <c r="E28" s="273"/>
      <c r="F28" s="273"/>
      <c r="G28" s="273"/>
      <c r="H28" s="273"/>
      <c r="I28" s="273"/>
      <c r="K28" s="288"/>
      <c r="L28" s="288"/>
      <c r="M28" s="131"/>
      <c r="N28" s="131"/>
    </row>
    <row r="29" spans="2:23" x14ac:dyDescent="0.25">
      <c r="B29" s="273"/>
      <c r="C29" s="273"/>
      <c r="D29" s="273"/>
      <c r="E29" s="273"/>
      <c r="F29" s="273"/>
      <c r="G29" s="273"/>
      <c r="H29" s="273"/>
      <c r="I29" s="273"/>
      <c r="K29" s="288"/>
      <c r="L29" s="288"/>
      <c r="M29" s="131"/>
      <c r="N29" s="131"/>
    </row>
    <row r="30" spans="2:23" ht="15.75" x14ac:dyDescent="0.25">
      <c r="B30" s="43" t="str">
        <f>IF(V6=TRUE,"Vizsga","-")</f>
        <v>-</v>
      </c>
      <c r="C30" s="43" t="str">
        <f>IF(V7=TRUE,"Vizsga","-")</f>
        <v>-</v>
      </c>
      <c r="D30" s="43" t="str">
        <f>IF(V8=TRUE,"Vizsga","-")</f>
        <v>-</v>
      </c>
      <c r="E30" s="43" t="str">
        <f>IF(V9=TRUE,"Vizsga","-")</f>
        <v>-</v>
      </c>
      <c r="F30" s="43" t="str">
        <f>IF(V10=TRUE,"Vizsga","-")</f>
        <v>-</v>
      </c>
      <c r="G30" s="43" t="str">
        <f>IF(V11=TRUE,"Vizsga","-")</f>
        <v>-</v>
      </c>
      <c r="H30" s="43" t="str">
        <f>IF(V12=TRUE,"Vizsga","-")</f>
        <v>-</v>
      </c>
      <c r="I30" s="43" t="str">
        <f>IF(V13=TRUE,"Vizsga","-")</f>
        <v>-</v>
      </c>
      <c r="K30" s="288"/>
      <c r="L30" s="288"/>
      <c r="M30" s="131"/>
      <c r="N30" s="131"/>
    </row>
    <row r="31" spans="2:23" ht="15.75" x14ac:dyDescent="0.25">
      <c r="B31" s="39">
        <f>IF(V6=TRUE,Kezdőlap!E37,0)</f>
        <v>0</v>
      </c>
      <c r="C31" s="39">
        <f>IF(V7=TRUE,Kezdőlap!E37,0)</f>
        <v>0</v>
      </c>
      <c r="D31" s="39">
        <f>IF(V8=TRUE,Kezdőlap!E37,0)</f>
        <v>0</v>
      </c>
      <c r="E31" s="39">
        <f>IF(V9=TRUE,Kezdőlap!E37,0)</f>
        <v>0</v>
      </c>
      <c r="F31" s="39">
        <f>IF(V10=TRUE,Kezdőlap!E37,0)</f>
        <v>0</v>
      </c>
      <c r="G31" s="39">
        <f>IF(V11=TRUE,Kezdőlap!E37,0)</f>
        <v>0</v>
      </c>
      <c r="H31" s="39">
        <f>IF(V12=TRUE,Kezdőlap!E37,0)</f>
        <v>0</v>
      </c>
      <c r="I31" s="39">
        <f>IF(V13=TRUE,Kezdőlap!E37,0)</f>
        <v>0</v>
      </c>
      <c r="K31" s="288"/>
      <c r="L31" s="288"/>
      <c r="M31" s="131"/>
      <c r="N31" s="131"/>
    </row>
  </sheetData>
  <sheetProtection sheet="1" objects="1" scenarios="1" selectLockedCells="1"/>
  <mergeCells count="27">
    <mergeCell ref="B4:H5"/>
    <mergeCell ref="B6:H6"/>
    <mergeCell ref="J4:M5"/>
    <mergeCell ref="J6:M11"/>
    <mergeCell ref="M23:N23"/>
    <mergeCell ref="G21:G29"/>
    <mergeCell ref="H21:H29"/>
    <mergeCell ref="I21:I29"/>
    <mergeCell ref="B20:I20"/>
    <mergeCell ref="B21:B29"/>
    <mergeCell ref="C21:C29"/>
    <mergeCell ref="D21:D29"/>
    <mergeCell ref="E21:E29"/>
    <mergeCell ref="F21:F29"/>
    <mergeCell ref="K24:L31"/>
    <mergeCell ref="M24:N31"/>
    <mergeCell ref="O4:U5"/>
    <mergeCell ref="O6:U6"/>
    <mergeCell ref="O7:U9"/>
    <mergeCell ref="O10:U10"/>
    <mergeCell ref="O11:U13"/>
    <mergeCell ref="K23:L23"/>
    <mergeCell ref="O19:W19"/>
    <mergeCell ref="O20:W21"/>
    <mergeCell ref="O14:U15"/>
    <mergeCell ref="O16:U16"/>
    <mergeCell ref="O17:U17"/>
  </mergeCells>
  <conditionalFormatting sqref="B30:I30">
    <cfRule type="containsText" dxfId="38" priority="1" operator="containsText" text="Vizsga">
      <formula>NOT(ISERROR(SEARCH("Vizsga",B30)))</formula>
    </cfRule>
  </conditionalFormatting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1985" r:id="rId3" name="Check Box 1">
              <controlPr defaultSize="0" autoFill="0" autoLine="0" autoPict="0">
                <anchor moveWithCells="1">
                  <from>
                    <xdr:col>1</xdr:col>
                    <xdr:colOff>238125</xdr:colOff>
                    <xdr:row>6</xdr:row>
                    <xdr:rowOff>85725</xdr:rowOff>
                  </from>
                  <to>
                    <xdr:col>6</xdr:col>
                    <xdr:colOff>466725</xdr:colOff>
                    <xdr:row>7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986" r:id="rId4" name="Check Box 2">
              <controlPr defaultSize="0" autoFill="0" autoLine="0" autoPict="0">
                <anchor moveWithCells="1">
                  <from>
                    <xdr:col>1</xdr:col>
                    <xdr:colOff>238125</xdr:colOff>
                    <xdr:row>7</xdr:row>
                    <xdr:rowOff>180975</xdr:rowOff>
                  </from>
                  <to>
                    <xdr:col>6</xdr:col>
                    <xdr:colOff>466725</xdr:colOff>
                    <xdr:row>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987" r:id="rId5" name="Check Box 3">
              <controlPr defaultSize="0" autoFill="0" autoLine="0" autoPict="0">
                <anchor moveWithCells="1">
                  <from>
                    <xdr:col>1</xdr:col>
                    <xdr:colOff>238125</xdr:colOff>
                    <xdr:row>9</xdr:row>
                    <xdr:rowOff>47625</xdr:rowOff>
                  </from>
                  <to>
                    <xdr:col>6</xdr:col>
                    <xdr:colOff>466725</xdr:colOff>
                    <xdr:row>10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988" r:id="rId6" name="Check Box 4">
              <controlPr defaultSize="0" autoFill="0" autoLine="0" autoPict="0">
                <anchor moveWithCells="1">
                  <from>
                    <xdr:col>1</xdr:col>
                    <xdr:colOff>238125</xdr:colOff>
                    <xdr:row>10</xdr:row>
                    <xdr:rowOff>123825</xdr:rowOff>
                  </from>
                  <to>
                    <xdr:col>6</xdr:col>
                    <xdr:colOff>466725</xdr:colOff>
                    <xdr:row>11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989" r:id="rId7" name="Check Box 5">
              <controlPr defaultSize="0" autoFill="0" autoLine="0" autoPict="0">
                <anchor moveWithCells="1">
                  <from>
                    <xdr:col>1</xdr:col>
                    <xdr:colOff>238125</xdr:colOff>
                    <xdr:row>12</xdr:row>
                    <xdr:rowOff>19050</xdr:rowOff>
                  </from>
                  <to>
                    <xdr:col>6</xdr:col>
                    <xdr:colOff>466725</xdr:colOff>
                    <xdr:row>13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990" r:id="rId8" name="Check Box 6">
              <controlPr defaultSize="0" autoFill="0" autoLine="0" autoPict="0">
                <anchor moveWithCells="1">
                  <from>
                    <xdr:col>1</xdr:col>
                    <xdr:colOff>238125</xdr:colOff>
                    <xdr:row>13</xdr:row>
                    <xdr:rowOff>85725</xdr:rowOff>
                  </from>
                  <to>
                    <xdr:col>6</xdr:col>
                    <xdr:colOff>466725</xdr:colOff>
                    <xdr:row>14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991" r:id="rId9" name="Check Box 7">
              <controlPr defaultSize="0" autoFill="0" autoLine="0" autoPict="0">
                <anchor moveWithCells="1">
                  <from>
                    <xdr:col>1</xdr:col>
                    <xdr:colOff>238125</xdr:colOff>
                    <xdr:row>14</xdr:row>
                    <xdr:rowOff>161925</xdr:rowOff>
                  </from>
                  <to>
                    <xdr:col>6</xdr:col>
                    <xdr:colOff>466725</xdr:colOff>
                    <xdr:row>15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992" r:id="rId10" name="Check Box 8">
              <controlPr defaultSize="0" autoFill="0" autoLine="0" autoPict="0">
                <anchor moveWithCells="1">
                  <from>
                    <xdr:col>1</xdr:col>
                    <xdr:colOff>238125</xdr:colOff>
                    <xdr:row>16</xdr:row>
                    <xdr:rowOff>47625</xdr:rowOff>
                  </from>
                  <to>
                    <xdr:col>6</xdr:col>
                    <xdr:colOff>466725</xdr:colOff>
                    <xdr:row>17</xdr:row>
                    <xdr:rowOff>76200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D3D64D-FA1C-4D56-A622-1C8EBB2400F9}">
  <sheetPr codeName="Munka28">
    <tabColor rgb="FFFFC000"/>
  </sheetPr>
  <dimension ref="B4:T25"/>
  <sheetViews>
    <sheetView showGridLines="0" showRowColHeaders="0" workbookViewId="0">
      <selection activeCell="P25" sqref="P25"/>
    </sheetView>
  </sheetViews>
  <sheetFormatPr defaultRowHeight="15" x14ac:dyDescent="0.25"/>
  <cols>
    <col min="2" max="2" width="10.5703125" customWidth="1"/>
    <col min="3" max="3" width="11.140625" customWidth="1"/>
    <col min="4" max="4" width="10.85546875" customWidth="1"/>
    <col min="7" max="7" width="10.85546875" customWidth="1"/>
    <col min="20" max="20" width="9.140625" style="66" hidden="1" customWidth="1"/>
  </cols>
  <sheetData>
    <row r="4" spans="2:20" x14ac:dyDescent="0.25">
      <c r="B4" s="132" t="s">
        <v>221</v>
      </c>
      <c r="C4" s="132"/>
      <c r="D4" s="132"/>
      <c r="E4" s="132"/>
      <c r="F4" s="132"/>
      <c r="G4" s="132"/>
      <c r="I4" s="149" t="s">
        <v>35</v>
      </c>
      <c r="J4" s="150"/>
      <c r="K4" s="151"/>
      <c r="M4" s="132" t="s">
        <v>190</v>
      </c>
      <c r="N4" s="132"/>
      <c r="O4" s="132"/>
      <c r="P4" s="132"/>
      <c r="Q4" s="132"/>
      <c r="R4" s="132"/>
      <c r="S4" s="132"/>
    </row>
    <row r="5" spans="2:20" x14ac:dyDescent="0.25">
      <c r="B5" s="132"/>
      <c r="C5" s="132"/>
      <c r="D5" s="132"/>
      <c r="E5" s="132"/>
      <c r="F5" s="132"/>
      <c r="G5" s="132"/>
      <c r="I5" s="152"/>
      <c r="J5" s="153"/>
      <c r="K5" s="154"/>
      <c r="M5" s="132"/>
      <c r="N5" s="132"/>
      <c r="O5" s="132"/>
      <c r="P5" s="132"/>
      <c r="Q5" s="132"/>
      <c r="R5" s="132"/>
      <c r="S5" s="132"/>
    </row>
    <row r="6" spans="2:20" x14ac:dyDescent="0.25">
      <c r="B6" s="295" t="s">
        <v>203</v>
      </c>
      <c r="C6" s="295"/>
      <c r="D6" s="295"/>
      <c r="E6" s="295"/>
      <c r="F6" s="295"/>
      <c r="G6" s="295"/>
      <c r="I6" s="155" t="s">
        <v>223</v>
      </c>
      <c r="J6" s="156"/>
      <c r="K6" s="157"/>
      <c r="M6" s="191" t="s">
        <v>195</v>
      </c>
      <c r="N6" s="191"/>
      <c r="O6" s="191"/>
      <c r="P6" s="191"/>
      <c r="Q6" s="191"/>
      <c r="R6" s="191"/>
      <c r="S6" s="191"/>
      <c r="T6" s="66" t="b">
        <v>0</v>
      </c>
    </row>
    <row r="7" spans="2:20" x14ac:dyDescent="0.25">
      <c r="B7" s="13"/>
      <c r="C7" s="14"/>
      <c r="D7" s="14"/>
      <c r="E7" s="14"/>
      <c r="F7" s="14"/>
      <c r="G7" s="15"/>
      <c r="I7" s="158"/>
      <c r="J7" s="159"/>
      <c r="K7" s="160"/>
      <c r="M7" s="257" t="s">
        <v>224</v>
      </c>
      <c r="N7" s="257"/>
      <c r="O7" s="257"/>
      <c r="P7" s="257"/>
      <c r="Q7" s="257"/>
      <c r="R7" s="257"/>
      <c r="S7" s="257"/>
      <c r="T7" s="66" t="b">
        <v>0</v>
      </c>
    </row>
    <row r="8" spans="2:20" x14ac:dyDescent="0.25">
      <c r="B8" s="6"/>
      <c r="C8" s="7"/>
      <c r="D8" s="7"/>
      <c r="E8" s="7"/>
      <c r="F8" s="7"/>
      <c r="G8" s="8"/>
      <c r="I8" s="158"/>
      <c r="J8" s="159"/>
      <c r="K8" s="160"/>
      <c r="M8" s="257"/>
      <c r="N8" s="257"/>
      <c r="O8" s="257"/>
      <c r="P8" s="257"/>
      <c r="Q8" s="257"/>
      <c r="R8" s="257"/>
      <c r="S8" s="257"/>
      <c r="T8" s="66" t="b">
        <v>0</v>
      </c>
    </row>
    <row r="9" spans="2:20" x14ac:dyDescent="0.25">
      <c r="B9" s="6"/>
      <c r="C9" s="7"/>
      <c r="D9" s="7"/>
      <c r="E9" s="7"/>
      <c r="F9" s="7"/>
      <c r="G9" s="8"/>
      <c r="I9" s="158"/>
      <c r="J9" s="159"/>
      <c r="K9" s="160"/>
      <c r="M9" s="257"/>
      <c r="N9" s="257"/>
      <c r="O9" s="257"/>
      <c r="P9" s="257"/>
      <c r="Q9" s="257"/>
      <c r="R9" s="257"/>
      <c r="S9" s="257"/>
    </row>
    <row r="10" spans="2:20" x14ac:dyDescent="0.25">
      <c r="B10" s="6"/>
      <c r="C10" s="7"/>
      <c r="D10" s="7"/>
      <c r="E10" s="7"/>
      <c r="F10" s="7"/>
      <c r="G10" s="8"/>
      <c r="I10" s="161"/>
      <c r="J10" s="162"/>
      <c r="K10" s="163"/>
      <c r="M10" s="257"/>
      <c r="N10" s="257"/>
      <c r="O10" s="257"/>
      <c r="P10" s="257"/>
      <c r="Q10" s="257"/>
      <c r="R10" s="257"/>
      <c r="S10" s="257"/>
    </row>
    <row r="11" spans="2:20" x14ac:dyDescent="0.25">
      <c r="B11" s="6"/>
      <c r="C11" s="7"/>
      <c r="D11" s="7"/>
      <c r="E11" s="7"/>
      <c r="F11" s="7"/>
      <c r="G11" s="8"/>
      <c r="M11" s="191" t="s">
        <v>158</v>
      </c>
      <c r="N11" s="191"/>
      <c r="O11" s="191"/>
      <c r="P11" s="191"/>
      <c r="Q11" s="191"/>
      <c r="R11" s="191"/>
      <c r="S11" s="191"/>
    </row>
    <row r="12" spans="2:20" x14ac:dyDescent="0.25">
      <c r="B12" s="9"/>
      <c r="C12" s="10"/>
      <c r="D12" s="10"/>
      <c r="E12" s="10"/>
      <c r="F12" s="10"/>
      <c r="G12" s="11"/>
      <c r="M12" s="257" t="s">
        <v>237</v>
      </c>
      <c r="N12" s="257"/>
      <c r="O12" s="257"/>
      <c r="P12" s="257"/>
      <c r="Q12" s="257"/>
      <c r="R12" s="257"/>
      <c r="S12" s="257"/>
    </row>
    <row r="13" spans="2:20" x14ac:dyDescent="0.25">
      <c r="M13" s="257"/>
      <c r="N13" s="257"/>
      <c r="O13" s="257"/>
      <c r="P13" s="257"/>
      <c r="Q13" s="257"/>
      <c r="R13" s="257"/>
      <c r="S13" s="257"/>
    </row>
    <row r="14" spans="2:20" ht="15.75" x14ac:dyDescent="0.25">
      <c r="B14" s="125" t="s">
        <v>191</v>
      </c>
      <c r="C14" s="125"/>
      <c r="D14" s="125"/>
      <c r="F14" s="125" t="s">
        <v>43</v>
      </c>
      <c r="G14" s="125"/>
      <c r="H14" s="125" t="s">
        <v>78</v>
      </c>
      <c r="I14" s="125"/>
      <c r="M14" s="257" t="s">
        <v>225</v>
      </c>
      <c r="N14" s="148"/>
      <c r="O14" s="148"/>
      <c r="P14" s="148"/>
      <c r="Q14" s="148"/>
      <c r="R14" s="148"/>
      <c r="S14" s="148"/>
    </row>
    <row r="15" spans="2:20" ht="14.45" customHeight="1" x14ac:dyDescent="0.25">
      <c r="B15" s="273" t="s">
        <v>234</v>
      </c>
      <c r="C15" s="273" t="s">
        <v>235</v>
      </c>
      <c r="D15" s="273" t="s">
        <v>236</v>
      </c>
      <c r="F15" s="288">
        <f>SUM(B25:D25)</f>
        <v>0</v>
      </c>
      <c r="G15" s="288"/>
      <c r="H15" s="131">
        <f>Kezdőlap!E41</f>
        <v>7300</v>
      </c>
      <c r="I15" s="131"/>
      <c r="M15" s="148"/>
      <c r="N15" s="148"/>
      <c r="O15" s="148"/>
      <c r="P15" s="148"/>
      <c r="Q15" s="148"/>
      <c r="R15" s="148"/>
      <c r="S15" s="148"/>
    </row>
    <row r="16" spans="2:20" x14ac:dyDescent="0.25">
      <c r="B16" s="273"/>
      <c r="C16" s="273"/>
      <c r="D16" s="273"/>
      <c r="F16" s="288"/>
      <c r="G16" s="288"/>
      <c r="H16" s="131"/>
      <c r="I16" s="131"/>
      <c r="M16" s="191" t="s">
        <v>206</v>
      </c>
      <c r="N16" s="191"/>
      <c r="O16" s="191"/>
      <c r="P16" s="191"/>
      <c r="Q16" s="191"/>
      <c r="R16" s="191"/>
      <c r="S16" s="191"/>
    </row>
    <row r="17" spans="2:19" x14ac:dyDescent="0.25">
      <c r="B17" s="273"/>
      <c r="C17" s="273"/>
      <c r="D17" s="273"/>
      <c r="F17" s="288"/>
      <c r="G17" s="288"/>
      <c r="H17" s="131"/>
      <c r="I17" s="131"/>
      <c r="M17" s="191" t="s">
        <v>57</v>
      </c>
      <c r="N17" s="191"/>
      <c r="O17" s="191"/>
      <c r="P17" s="191"/>
      <c r="Q17" s="191"/>
      <c r="R17" s="191"/>
      <c r="S17" s="191"/>
    </row>
    <row r="18" spans="2:19" x14ac:dyDescent="0.25">
      <c r="B18" s="273"/>
      <c r="C18" s="273"/>
      <c r="D18" s="273"/>
      <c r="F18" s="288"/>
      <c r="G18" s="288"/>
      <c r="H18" s="131"/>
      <c r="I18" s="131"/>
      <c r="M18" s="347" t="str">
        <f>IF(T8=TRUE,"Vonalvizsga legalább 20 fkm hosszú szakaszra tehető le.","")</f>
        <v/>
      </c>
      <c r="N18" s="347"/>
      <c r="O18" s="347"/>
      <c r="P18" s="347"/>
      <c r="Q18" s="347"/>
      <c r="R18" s="347"/>
      <c r="S18" s="347"/>
    </row>
    <row r="19" spans="2:19" x14ac:dyDescent="0.25">
      <c r="B19" s="273"/>
      <c r="C19" s="273"/>
      <c r="D19" s="273"/>
      <c r="F19" s="288"/>
      <c r="G19" s="288"/>
      <c r="H19" s="131"/>
      <c r="I19" s="131"/>
      <c r="M19" s="347"/>
      <c r="N19" s="347"/>
      <c r="O19" s="347"/>
      <c r="P19" s="347"/>
      <c r="Q19" s="347"/>
      <c r="R19" s="347"/>
      <c r="S19" s="347"/>
    </row>
    <row r="20" spans="2:19" x14ac:dyDescent="0.25">
      <c r="B20" s="273"/>
      <c r="C20" s="273"/>
      <c r="D20" s="273"/>
      <c r="F20" s="288"/>
      <c r="G20" s="288"/>
      <c r="H20" s="131"/>
      <c r="I20" s="131"/>
    </row>
    <row r="21" spans="2:19" x14ac:dyDescent="0.25">
      <c r="B21" s="273"/>
      <c r="C21" s="273"/>
      <c r="D21" s="273"/>
      <c r="F21" s="288"/>
      <c r="G21" s="288"/>
      <c r="H21" s="131"/>
      <c r="I21" s="131"/>
    </row>
    <row r="22" spans="2:19" x14ac:dyDescent="0.25">
      <c r="B22" s="273"/>
      <c r="C22" s="273"/>
      <c r="D22" s="273"/>
      <c r="F22" s="288"/>
      <c r="G22" s="288"/>
      <c r="H22" s="131"/>
      <c r="I22" s="131"/>
    </row>
    <row r="23" spans="2:19" x14ac:dyDescent="0.25">
      <c r="B23" s="273"/>
      <c r="C23" s="273"/>
      <c r="D23" s="273"/>
    </row>
    <row r="24" spans="2:19" ht="15.75" x14ac:dyDescent="0.25">
      <c r="B24" s="43" t="str">
        <f>IF(T6=TRUE,"Vizsga","-")</f>
        <v>-</v>
      </c>
      <c r="C24" s="43" t="str">
        <f>IF(T7=TRUE,"Vizsga","-")</f>
        <v>-</v>
      </c>
      <c r="D24" s="43" t="str">
        <f>IF(T8=TRUE,"Vizsga","-")</f>
        <v>-</v>
      </c>
    </row>
    <row r="25" spans="2:19" ht="15.75" x14ac:dyDescent="0.25">
      <c r="B25" s="39">
        <f>IF(T6=TRUE,Kezdőlap!E36,0)</f>
        <v>0</v>
      </c>
      <c r="C25" s="39">
        <f>IF(T7=TRUE,Kezdőlap!E36,0)</f>
        <v>0</v>
      </c>
      <c r="D25" s="39">
        <f>IF(T8=TRUE,Kezdőlap!E36,0)</f>
        <v>0</v>
      </c>
    </row>
  </sheetData>
  <sheetProtection sheet="1" objects="1" scenarios="1" selectLockedCells="1"/>
  <mergeCells count="21">
    <mergeCell ref="B4:G5"/>
    <mergeCell ref="B6:G6"/>
    <mergeCell ref="B14:D14"/>
    <mergeCell ref="B15:B23"/>
    <mergeCell ref="C15:C23"/>
    <mergeCell ref="D15:D23"/>
    <mergeCell ref="I4:K5"/>
    <mergeCell ref="I6:K10"/>
    <mergeCell ref="M4:S5"/>
    <mergeCell ref="M6:S6"/>
    <mergeCell ref="M7:S10"/>
    <mergeCell ref="M11:S11"/>
    <mergeCell ref="M12:S13"/>
    <mergeCell ref="M14:S15"/>
    <mergeCell ref="M16:S16"/>
    <mergeCell ref="M17:S17"/>
    <mergeCell ref="M18:S19"/>
    <mergeCell ref="F14:G14"/>
    <mergeCell ref="H14:I14"/>
    <mergeCell ref="F15:G22"/>
    <mergeCell ref="H15:I22"/>
  </mergeCells>
  <conditionalFormatting sqref="B24:D24">
    <cfRule type="containsText" dxfId="37" priority="1" operator="containsText" text="Vizsga">
      <formula>NOT(ISERROR(SEARCH("Vizsga",B24)))</formula>
    </cfRule>
  </conditionalFormatting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7105" r:id="rId3" name="Check Box 1">
              <controlPr defaultSize="0" autoFill="0" autoLine="0" autoPict="0" altText="Rajna: 335.66 - 425.00 fkm (Iffezheim - Mannheim)">
                <anchor moveWithCells="1">
                  <from>
                    <xdr:col>1</xdr:col>
                    <xdr:colOff>85725</xdr:colOff>
                    <xdr:row>5</xdr:row>
                    <xdr:rowOff>171450</xdr:rowOff>
                  </from>
                  <to>
                    <xdr:col>4</xdr:col>
                    <xdr:colOff>533400</xdr:colOff>
                    <xdr:row>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7106" r:id="rId4" name="Check Box 2">
              <controlPr defaultSize="0" autoFill="0" autoLine="0" autoPict="0" altText="Rajna: 335.66 - 425.00 fkm (Iffezheim - Mannheim)">
                <anchor moveWithCells="1">
                  <from>
                    <xdr:col>1</xdr:col>
                    <xdr:colOff>85725</xdr:colOff>
                    <xdr:row>7</xdr:row>
                    <xdr:rowOff>133350</xdr:rowOff>
                  </from>
                  <to>
                    <xdr:col>4</xdr:col>
                    <xdr:colOff>533400</xdr:colOff>
                    <xdr:row>9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7107" r:id="rId5" name="Check Box 3">
              <controlPr defaultSize="0" autoFill="0" autoLine="0" autoPict="0" altText="Rajna: 335.66 - 425.00 fkm (Iffezheim - Mannheim)">
                <anchor moveWithCells="1">
                  <from>
                    <xdr:col>1</xdr:col>
                    <xdr:colOff>85725</xdr:colOff>
                    <xdr:row>9</xdr:row>
                    <xdr:rowOff>85725</xdr:rowOff>
                  </from>
                  <to>
                    <xdr:col>4</xdr:col>
                    <xdr:colOff>533400</xdr:colOff>
                    <xdr:row>11</xdr:row>
                    <xdr:rowOff>123825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03D83B-CBE7-47D6-A336-FB51C1457860}">
  <sheetPr codeName="Munka4">
    <tabColor rgb="FF00B0F0"/>
  </sheetPr>
  <dimension ref="A3:T26"/>
  <sheetViews>
    <sheetView showGridLines="0" showRowColHeaders="0" workbookViewId="0">
      <selection activeCell="V8" sqref="V8"/>
    </sheetView>
  </sheetViews>
  <sheetFormatPr defaultRowHeight="15" x14ac:dyDescent="0.25"/>
  <cols>
    <col min="5" max="5" width="14.42578125" bestFit="1" customWidth="1"/>
    <col min="20" max="20" width="9.140625" style="66" hidden="1" customWidth="1"/>
  </cols>
  <sheetData>
    <row r="3" spans="1:20" x14ac:dyDescent="0.25">
      <c r="A3" s="4"/>
      <c r="B3" s="4"/>
      <c r="C3" s="4"/>
    </row>
    <row r="4" spans="1:20" x14ac:dyDescent="0.25">
      <c r="B4" s="133" t="s">
        <v>1</v>
      </c>
      <c r="C4" s="133"/>
      <c r="D4" s="133"/>
      <c r="E4" s="133"/>
      <c r="F4" s="133"/>
      <c r="G4" s="133"/>
      <c r="H4" s="133"/>
      <c r="I4" s="133"/>
      <c r="L4" s="149" t="s">
        <v>35</v>
      </c>
      <c r="M4" s="150"/>
      <c r="N4" s="151"/>
      <c r="P4" s="164" t="s">
        <v>53</v>
      </c>
      <c r="Q4" s="165"/>
      <c r="R4" s="165"/>
      <c r="S4" s="166"/>
    </row>
    <row r="5" spans="1:20" ht="15" customHeight="1" x14ac:dyDescent="0.25">
      <c r="B5" s="133"/>
      <c r="C5" s="133"/>
      <c r="D5" s="133"/>
      <c r="E5" s="133"/>
      <c r="F5" s="133"/>
      <c r="G5" s="133"/>
      <c r="H5" s="133"/>
      <c r="I5" s="133"/>
      <c r="L5" s="152"/>
      <c r="M5" s="153"/>
      <c r="N5" s="154"/>
      <c r="P5" s="167"/>
      <c r="Q5" s="168"/>
      <c r="R5" s="168"/>
      <c r="S5" s="169"/>
    </row>
    <row r="6" spans="1:20" x14ac:dyDescent="0.25">
      <c r="B6" s="182" t="s">
        <v>51</v>
      </c>
      <c r="C6" s="183"/>
      <c r="D6" s="183"/>
      <c r="E6" s="183"/>
      <c r="F6" s="183"/>
      <c r="G6" s="183"/>
      <c r="H6" s="183"/>
      <c r="I6" s="184"/>
      <c r="L6" s="155" t="str">
        <f>IF(T8=FALSE,"Jóváhagyott képzési program részeként legalább 90 nap hajózási idő teljesítése a fedélzeti személyzet tagjaként","")</f>
        <v>Jóváhagyott képzési program részeként legalább 90 nap hajózási idő teljesítése a fedélzeti személyzet tagjaként</v>
      </c>
      <c r="M6" s="156"/>
      <c r="N6" s="157"/>
      <c r="P6" s="170"/>
      <c r="Q6" s="171"/>
      <c r="R6" s="171"/>
      <c r="S6" s="172"/>
    </row>
    <row r="7" spans="1:20" ht="15" customHeight="1" x14ac:dyDescent="0.25">
      <c r="B7" s="185"/>
      <c r="C7" s="186"/>
      <c r="D7" s="186"/>
      <c r="E7" s="186"/>
      <c r="F7" s="186"/>
      <c r="G7" s="186"/>
      <c r="H7" s="186"/>
      <c r="I7" s="187"/>
      <c r="L7" s="158"/>
      <c r="M7" s="159"/>
      <c r="N7" s="160"/>
      <c r="P7" s="155" t="s">
        <v>54</v>
      </c>
      <c r="Q7" s="156"/>
      <c r="R7" s="156"/>
      <c r="S7" s="157"/>
    </row>
    <row r="8" spans="1:20" ht="15" customHeight="1" x14ac:dyDescent="0.25">
      <c r="B8" s="188" t="s">
        <v>52</v>
      </c>
      <c r="C8" s="189"/>
      <c r="D8" s="189"/>
      <c r="E8" s="189"/>
      <c r="F8" s="189"/>
      <c r="G8" s="189"/>
      <c r="H8" s="189"/>
      <c r="I8" s="190"/>
      <c r="L8" s="158"/>
      <c r="M8" s="159"/>
      <c r="N8" s="160"/>
      <c r="P8" s="161"/>
      <c r="Q8" s="162"/>
      <c r="R8" s="162"/>
      <c r="S8" s="163"/>
      <c r="T8" s="66" t="b">
        <v>0</v>
      </c>
    </row>
    <row r="9" spans="1:20" x14ac:dyDescent="0.25">
      <c r="B9" s="6"/>
      <c r="C9" s="7"/>
      <c r="D9" s="7"/>
      <c r="E9" s="7"/>
      <c r="F9" s="7"/>
      <c r="G9" s="7"/>
      <c r="H9" s="7"/>
      <c r="I9" s="8"/>
      <c r="L9" s="158"/>
      <c r="M9" s="159"/>
      <c r="N9" s="160"/>
      <c r="P9" s="155" t="s">
        <v>56</v>
      </c>
      <c r="Q9" s="156"/>
      <c r="R9" s="156"/>
      <c r="S9" s="157"/>
    </row>
    <row r="10" spans="1:20" ht="15" customHeight="1" x14ac:dyDescent="0.25">
      <c r="B10" s="6"/>
      <c r="C10" s="7"/>
      <c r="D10" s="7"/>
      <c r="E10" s="7"/>
      <c r="F10" s="7"/>
      <c r="G10" s="7"/>
      <c r="H10" s="7"/>
      <c r="I10" s="8"/>
      <c r="L10" s="158"/>
      <c r="M10" s="159"/>
      <c r="N10" s="160"/>
      <c r="P10" s="161"/>
      <c r="Q10" s="162"/>
      <c r="R10" s="162"/>
      <c r="S10" s="163"/>
    </row>
    <row r="11" spans="1:20" x14ac:dyDescent="0.25">
      <c r="B11" s="6"/>
      <c r="C11" s="7"/>
      <c r="D11" s="7"/>
      <c r="E11" s="7"/>
      <c r="F11" s="7"/>
      <c r="G11" s="7"/>
      <c r="H11" s="7"/>
      <c r="I11" s="8"/>
      <c r="L11" s="158"/>
      <c r="M11" s="159"/>
      <c r="N11" s="160"/>
      <c r="P11" s="148" t="s">
        <v>55</v>
      </c>
      <c r="Q11" s="148"/>
      <c r="R11" s="148"/>
      <c r="S11" s="148"/>
    </row>
    <row r="12" spans="1:20" x14ac:dyDescent="0.25">
      <c r="B12" s="9"/>
      <c r="C12" s="10"/>
      <c r="D12" s="10"/>
      <c r="E12" s="10"/>
      <c r="F12" s="10"/>
      <c r="G12" s="10"/>
      <c r="H12" s="10"/>
      <c r="I12" s="11"/>
      <c r="L12" s="158"/>
      <c r="M12" s="159"/>
      <c r="N12" s="160"/>
      <c r="P12" s="148" t="s">
        <v>57</v>
      </c>
      <c r="Q12" s="148"/>
      <c r="R12" s="148"/>
      <c r="S12" s="148"/>
    </row>
    <row r="13" spans="1:20" x14ac:dyDescent="0.25">
      <c r="L13" s="161"/>
      <c r="M13" s="162"/>
      <c r="N13" s="163"/>
      <c r="P13" s="148" t="str">
        <f>IF(T8=TRUE,"","Betöltött 17. életév")</f>
        <v>Betöltött 17. életév</v>
      </c>
      <c r="Q13" s="148"/>
      <c r="R13" s="148"/>
      <c r="S13" s="148"/>
    </row>
    <row r="14" spans="1:20" x14ac:dyDescent="0.25">
      <c r="P14" s="155" t="str">
        <f>IF(T8=TRUE,"Igazolás a hajózási hatóság által jóváhagyott képzésben sikeres matrózvizsga letételéről, vagy",IF(AND(T8,T9)=FALSE,"","A hajózási hatóság által jóváhagyott képzési programot végzett el"))</f>
        <v/>
      </c>
      <c r="Q14" s="156"/>
      <c r="R14" s="156"/>
      <c r="S14" s="157"/>
    </row>
    <row r="15" spans="1:20" ht="23.25" x14ac:dyDescent="0.35">
      <c r="B15" s="126" t="s">
        <v>59</v>
      </c>
      <c r="C15" s="126"/>
      <c r="D15" s="126"/>
      <c r="E15" s="51">
        <f>Kezdőlap!E43</f>
        <v>9700</v>
      </c>
      <c r="P15" s="158"/>
      <c r="Q15" s="159"/>
      <c r="R15" s="159"/>
      <c r="S15" s="160"/>
    </row>
    <row r="16" spans="1:20" x14ac:dyDescent="0.25">
      <c r="P16" s="161"/>
      <c r="Q16" s="162"/>
      <c r="R16" s="162"/>
      <c r="S16" s="163"/>
    </row>
    <row r="17" spans="12:19" ht="15" customHeight="1" x14ac:dyDescent="0.25">
      <c r="P17" s="155" t="str">
        <f>IF(T8=TRUE,"a hajózási hatóság által jóváhagyott képzési program elvégzése, és e jóváhagyott képzési program részeként legalább 90 nap hajózási idő teljesítése a fedélzeti személyzet tagjaként","")</f>
        <v/>
      </c>
      <c r="Q17" s="156"/>
      <c r="R17" s="156"/>
      <c r="S17" s="157"/>
    </row>
    <row r="18" spans="12:19" ht="15" customHeight="1" x14ac:dyDescent="0.25">
      <c r="P18" s="158"/>
      <c r="Q18" s="159"/>
      <c r="R18" s="159"/>
      <c r="S18" s="160"/>
    </row>
    <row r="19" spans="12:19" x14ac:dyDescent="0.25">
      <c r="P19" s="158"/>
      <c r="Q19" s="159"/>
      <c r="R19" s="159"/>
      <c r="S19" s="160"/>
    </row>
    <row r="20" spans="12:19" x14ac:dyDescent="0.25">
      <c r="P20" s="158"/>
      <c r="Q20" s="159"/>
      <c r="R20" s="159"/>
      <c r="S20" s="160"/>
    </row>
    <row r="21" spans="12:19" x14ac:dyDescent="0.25">
      <c r="P21" s="161"/>
      <c r="Q21" s="162"/>
      <c r="R21" s="162"/>
      <c r="S21" s="163"/>
    </row>
    <row r="24" spans="12:19" x14ac:dyDescent="0.25">
      <c r="L24" s="173" t="s">
        <v>279</v>
      </c>
      <c r="M24" s="174"/>
      <c r="N24" s="174"/>
      <c r="O24" s="174"/>
      <c r="P24" s="174"/>
      <c r="Q24" s="174"/>
      <c r="R24" s="174"/>
      <c r="S24" s="175"/>
    </row>
    <row r="25" spans="12:19" x14ac:dyDescent="0.25">
      <c r="L25" s="176"/>
      <c r="M25" s="177"/>
      <c r="N25" s="177"/>
      <c r="O25" s="177"/>
      <c r="P25" s="177"/>
      <c r="Q25" s="177"/>
      <c r="R25" s="177"/>
      <c r="S25" s="178"/>
    </row>
    <row r="26" spans="12:19" x14ac:dyDescent="0.25">
      <c r="L26" s="179"/>
      <c r="M26" s="180"/>
      <c r="N26" s="180"/>
      <c r="O26" s="180"/>
      <c r="P26" s="180"/>
      <c r="Q26" s="180"/>
      <c r="R26" s="180"/>
      <c r="S26" s="181"/>
    </row>
  </sheetData>
  <sheetProtection sheet="1" selectLockedCells="1"/>
  <mergeCells count="15">
    <mergeCell ref="L24:S26"/>
    <mergeCell ref="P14:S16"/>
    <mergeCell ref="P17:S21"/>
    <mergeCell ref="B6:I7"/>
    <mergeCell ref="B8:I8"/>
    <mergeCell ref="B4:I5"/>
    <mergeCell ref="B15:D15"/>
    <mergeCell ref="P11:S11"/>
    <mergeCell ref="P12:S12"/>
    <mergeCell ref="P13:S13"/>
    <mergeCell ref="L4:N5"/>
    <mergeCell ref="L6:N13"/>
    <mergeCell ref="P4:S6"/>
    <mergeCell ref="P7:S8"/>
    <mergeCell ref="P9:S10"/>
  </mergeCells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3" r:id="rId3" name="Check Box 1">
              <controlPr defaultSize="0" autoFill="0" autoLine="0" autoPict="0">
                <anchor moveWithCells="1">
                  <from>
                    <xdr:col>1</xdr:col>
                    <xdr:colOff>95250</xdr:colOff>
                    <xdr:row>8</xdr:row>
                    <xdr:rowOff>95250</xdr:rowOff>
                  </from>
                  <to>
                    <xdr:col>3</xdr:col>
                    <xdr:colOff>409575</xdr:colOff>
                    <xdr:row>9</xdr:row>
                    <xdr:rowOff>142875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19F03B-E833-4170-8D6C-D8DC5A9055E7}">
  <sheetPr codeName="Munka29">
    <tabColor rgb="FFFFC000"/>
  </sheetPr>
  <dimension ref="B4:S25"/>
  <sheetViews>
    <sheetView showGridLines="0" showRowColHeaders="0" workbookViewId="0">
      <selection activeCell="S1" sqref="S1:S1048576"/>
    </sheetView>
  </sheetViews>
  <sheetFormatPr defaultRowHeight="15" x14ac:dyDescent="0.25"/>
  <cols>
    <col min="2" max="2" width="10.140625" customWidth="1"/>
    <col min="3" max="3" width="11.42578125" customWidth="1"/>
    <col min="19" max="19" width="9.140625" style="66" hidden="1" customWidth="1"/>
  </cols>
  <sheetData>
    <row r="4" spans="2:19" x14ac:dyDescent="0.25">
      <c r="B4" s="349" t="s">
        <v>238</v>
      </c>
      <c r="C4" s="349"/>
      <c r="D4" s="349"/>
      <c r="E4" s="349"/>
      <c r="F4" s="349"/>
      <c r="G4" s="349"/>
      <c r="H4" s="349"/>
      <c r="I4" s="349"/>
      <c r="K4" s="132" t="s">
        <v>190</v>
      </c>
      <c r="L4" s="132"/>
      <c r="M4" s="132"/>
      <c r="N4" s="132"/>
      <c r="O4" s="132"/>
      <c r="P4" s="132"/>
      <c r="Q4" s="132"/>
      <c r="R4" s="132"/>
    </row>
    <row r="5" spans="2:19" x14ac:dyDescent="0.25">
      <c r="B5" s="349"/>
      <c r="C5" s="349"/>
      <c r="D5" s="349"/>
      <c r="E5" s="349"/>
      <c r="F5" s="349"/>
      <c r="G5" s="349"/>
      <c r="H5" s="349"/>
      <c r="I5" s="349"/>
      <c r="K5" s="132"/>
      <c r="L5" s="132"/>
      <c r="M5" s="132"/>
      <c r="N5" s="132"/>
      <c r="O5" s="132"/>
      <c r="P5" s="132"/>
      <c r="Q5" s="132"/>
      <c r="R5" s="132"/>
    </row>
    <row r="6" spans="2:19" x14ac:dyDescent="0.25">
      <c r="B6" s="279" t="s">
        <v>239</v>
      </c>
      <c r="C6" s="279"/>
      <c r="D6" s="279"/>
      <c r="E6" s="279"/>
      <c r="F6" s="279"/>
      <c r="G6" s="279"/>
      <c r="H6" s="279"/>
      <c r="I6" s="279"/>
      <c r="K6" s="191" t="str">
        <f>IF(OR(S6,S7)=TRUE,"Okmányigénylés","Írásos vizsgajelentkezési kérelem")</f>
        <v>Írásos vizsgajelentkezési kérelem</v>
      </c>
      <c r="L6" s="191"/>
      <c r="M6" s="191"/>
      <c r="N6" s="191"/>
      <c r="O6" s="191"/>
      <c r="P6" s="191"/>
      <c r="Q6" s="191"/>
      <c r="R6" s="191"/>
      <c r="S6" s="66" t="b">
        <v>0</v>
      </c>
    </row>
    <row r="7" spans="2:19" x14ac:dyDescent="0.25">
      <c r="B7" s="13"/>
      <c r="C7" s="14"/>
      <c r="D7" s="14"/>
      <c r="E7" s="14"/>
      <c r="F7" s="14"/>
      <c r="G7" s="14"/>
      <c r="H7" s="14"/>
      <c r="I7" s="15"/>
      <c r="K7" s="191" t="s">
        <v>55</v>
      </c>
      <c r="L7" s="191"/>
      <c r="M7" s="191"/>
      <c r="N7" s="191"/>
      <c r="O7" s="191"/>
      <c r="P7" s="191"/>
      <c r="Q7" s="191"/>
      <c r="R7" s="191"/>
      <c r="S7" s="66" t="b">
        <v>0</v>
      </c>
    </row>
    <row r="8" spans="2:19" x14ac:dyDescent="0.25">
      <c r="B8" s="6"/>
      <c r="C8" s="7"/>
      <c r="D8" s="7"/>
      <c r="E8" s="7"/>
      <c r="F8" s="7"/>
      <c r="G8" s="7"/>
      <c r="H8" s="7"/>
      <c r="I8" s="8"/>
      <c r="K8" s="191" t="s">
        <v>158</v>
      </c>
      <c r="L8" s="191"/>
      <c r="M8" s="191"/>
      <c r="N8" s="191"/>
      <c r="O8" s="191"/>
      <c r="P8" s="191"/>
      <c r="Q8" s="191"/>
      <c r="R8" s="191"/>
    </row>
    <row r="9" spans="2:19" x14ac:dyDescent="0.25">
      <c r="B9" s="6"/>
      <c r="C9" s="7"/>
      <c r="D9" s="7"/>
      <c r="E9" s="7"/>
      <c r="F9" s="7"/>
      <c r="G9" s="7"/>
      <c r="H9" s="7"/>
      <c r="I9" s="8"/>
      <c r="K9" s="257" t="s">
        <v>240</v>
      </c>
      <c r="L9" s="257"/>
      <c r="M9" s="257"/>
      <c r="N9" s="257"/>
      <c r="O9" s="257"/>
      <c r="P9" s="257"/>
      <c r="Q9" s="257"/>
      <c r="R9" s="257"/>
    </row>
    <row r="10" spans="2:19" x14ac:dyDescent="0.25">
      <c r="B10" s="6"/>
      <c r="C10" s="7"/>
      <c r="D10" s="7"/>
      <c r="E10" s="7"/>
      <c r="F10" s="7"/>
      <c r="G10" s="7"/>
      <c r="H10" s="7"/>
      <c r="I10" s="8"/>
      <c r="K10" s="257"/>
      <c r="L10" s="257"/>
      <c r="M10" s="257"/>
      <c r="N10" s="257"/>
      <c r="O10" s="257"/>
      <c r="P10" s="257"/>
      <c r="Q10" s="257"/>
      <c r="R10" s="257"/>
    </row>
    <row r="11" spans="2:19" x14ac:dyDescent="0.25">
      <c r="B11" s="6"/>
      <c r="C11" s="7"/>
      <c r="D11" s="7"/>
      <c r="E11" s="7"/>
      <c r="F11" s="7"/>
      <c r="G11" s="7"/>
      <c r="H11" s="7"/>
      <c r="I11" s="8"/>
      <c r="K11" s="257" t="str">
        <f>IF(OR(S6,S7)=TRUE,"","UNIÓS hajóvezetői bizonyítvány megléte, vagy B kategóriájú hajóvezetői bizonyítvány megléte, vagy a hajóvezetők számára szükséges uniós képesítő bizonyítványok megszerzéséhez a jogszabály által meghatározott minimumkövetelményeket teljesítése")</f>
        <v>UNIÓS hajóvezetői bizonyítvány megléte, vagy B kategóriájú hajóvezetői bizonyítvány megléte, vagy a hajóvezetők számára szükséges uniós képesítő bizonyítványok megszerzéséhez a jogszabály által meghatározott minimumkövetelményeket teljesítése</v>
      </c>
      <c r="L11" s="257"/>
      <c r="M11" s="257"/>
      <c r="N11" s="257"/>
      <c r="O11" s="257"/>
      <c r="P11" s="257"/>
      <c r="Q11" s="257"/>
      <c r="R11" s="257"/>
    </row>
    <row r="12" spans="2:19" x14ac:dyDescent="0.25">
      <c r="B12" s="9"/>
      <c r="C12" s="10"/>
      <c r="D12" s="10"/>
      <c r="E12" s="10"/>
      <c r="F12" s="10"/>
      <c r="G12" s="10"/>
      <c r="H12" s="10"/>
      <c r="I12" s="11"/>
      <c r="K12" s="257"/>
      <c r="L12" s="257"/>
      <c r="M12" s="257"/>
      <c r="N12" s="257"/>
      <c r="O12" s="257"/>
      <c r="P12" s="257"/>
      <c r="Q12" s="257"/>
      <c r="R12" s="257"/>
    </row>
    <row r="13" spans="2:19" x14ac:dyDescent="0.25">
      <c r="K13" s="257"/>
      <c r="L13" s="257"/>
      <c r="M13" s="257"/>
      <c r="N13" s="257"/>
      <c r="O13" s="257"/>
      <c r="P13" s="257"/>
      <c r="Q13" s="257"/>
      <c r="R13" s="257"/>
    </row>
    <row r="14" spans="2:19" ht="15.75" x14ac:dyDescent="0.25">
      <c r="B14" s="125" t="s">
        <v>37</v>
      </c>
      <c r="C14" s="125"/>
      <c r="E14" s="125" t="s">
        <v>43</v>
      </c>
      <c r="F14" s="125"/>
      <c r="G14" s="125" t="s">
        <v>78</v>
      </c>
      <c r="H14" s="125"/>
      <c r="K14" s="257"/>
      <c r="L14" s="257"/>
      <c r="M14" s="257"/>
      <c r="N14" s="257"/>
      <c r="O14" s="257"/>
      <c r="P14" s="257"/>
      <c r="Q14" s="257"/>
      <c r="R14" s="257"/>
    </row>
    <row r="15" spans="2:19" x14ac:dyDescent="0.25">
      <c r="B15" s="273" t="s">
        <v>241</v>
      </c>
      <c r="C15" s="273" t="s">
        <v>242</v>
      </c>
      <c r="E15" s="288">
        <f>SUM(B25:C25)</f>
        <v>31500</v>
      </c>
      <c r="F15" s="288"/>
      <c r="G15" s="131">
        <f>Kezdőlap!E41</f>
        <v>7300</v>
      </c>
      <c r="H15" s="131"/>
      <c r="K15" s="191" t="s">
        <v>206</v>
      </c>
      <c r="L15" s="191"/>
      <c r="M15" s="191"/>
      <c r="N15" s="191"/>
      <c r="O15" s="191"/>
      <c r="P15" s="191"/>
      <c r="Q15" s="191"/>
      <c r="R15" s="191"/>
    </row>
    <row r="16" spans="2:19" x14ac:dyDescent="0.25">
      <c r="B16" s="273"/>
      <c r="C16" s="273"/>
      <c r="E16" s="288"/>
      <c r="F16" s="288"/>
      <c r="G16" s="131"/>
      <c r="H16" s="131"/>
      <c r="K16" s="191" t="s">
        <v>57</v>
      </c>
      <c r="L16" s="191"/>
      <c r="M16" s="191"/>
      <c r="N16" s="191"/>
      <c r="O16" s="191"/>
      <c r="P16" s="191"/>
      <c r="Q16" s="191"/>
      <c r="R16" s="191"/>
    </row>
    <row r="17" spans="2:18" x14ac:dyDescent="0.25">
      <c r="B17" s="273"/>
      <c r="C17" s="273"/>
      <c r="E17" s="288"/>
      <c r="F17" s="288"/>
      <c r="G17" s="131"/>
      <c r="H17" s="131"/>
    </row>
    <row r="18" spans="2:18" ht="15.75" x14ac:dyDescent="0.25">
      <c r="B18" s="273"/>
      <c r="C18" s="273"/>
      <c r="E18" s="288"/>
      <c r="F18" s="288"/>
      <c r="G18" s="131"/>
      <c r="H18" s="131"/>
      <c r="K18" s="348" t="s">
        <v>200</v>
      </c>
      <c r="L18" s="348"/>
      <c r="M18" s="348"/>
      <c r="N18" s="348"/>
      <c r="O18" s="348"/>
      <c r="P18" s="348"/>
      <c r="Q18" s="348"/>
      <c r="R18" s="348"/>
    </row>
    <row r="19" spans="2:18" ht="14.45" customHeight="1" x14ac:dyDescent="0.25">
      <c r="B19" s="273"/>
      <c r="C19" s="273"/>
      <c r="E19" s="288"/>
      <c r="F19" s="288"/>
      <c r="G19" s="131"/>
      <c r="H19" s="131"/>
      <c r="K19" s="257" t="str">
        <f>IF(OR(S7)=TRUE,"A hajóskapitányi szolgálat igazolására a következő dokumentumok szolgálnak:
a) a hajós szolgálati könyv,
b) a hajónapló,
c) a munkáltatói igazolás,
d) a hajózási hatóság vagy a vizsgaközpont rendelkezésére álló dokumentumok.",IF(OR(S6)=TRUE,"","A szóbeli vizsgatárgy vizsgája a sikeres tesztvizsgát követően kezdhető meg."))</f>
        <v>A szóbeli vizsgatárgy vizsgája a sikeres tesztvizsgát követően kezdhető meg.</v>
      </c>
      <c r="L19" s="257"/>
      <c r="M19" s="257"/>
      <c r="N19" s="257"/>
      <c r="O19" s="257"/>
      <c r="P19" s="257"/>
      <c r="Q19" s="257"/>
      <c r="R19" s="257"/>
    </row>
    <row r="20" spans="2:18" x14ac:dyDescent="0.25">
      <c r="B20" s="273"/>
      <c r="C20" s="273"/>
      <c r="E20" s="288"/>
      <c r="F20" s="288"/>
      <c r="G20" s="131"/>
      <c r="H20" s="131"/>
      <c r="K20" s="257"/>
      <c r="L20" s="257"/>
      <c r="M20" s="257"/>
      <c r="N20" s="257"/>
      <c r="O20" s="257"/>
      <c r="P20" s="257"/>
      <c r="Q20" s="257"/>
      <c r="R20" s="257"/>
    </row>
    <row r="21" spans="2:18" x14ac:dyDescent="0.25">
      <c r="B21" s="273"/>
      <c r="C21" s="273"/>
      <c r="E21" s="288"/>
      <c r="F21" s="288"/>
      <c r="G21" s="131"/>
      <c r="H21" s="131"/>
      <c r="K21" s="257"/>
      <c r="L21" s="257"/>
      <c r="M21" s="257"/>
      <c r="N21" s="257"/>
      <c r="O21" s="257"/>
      <c r="P21" s="257"/>
      <c r="Q21" s="257"/>
      <c r="R21" s="257"/>
    </row>
    <row r="22" spans="2:18" x14ac:dyDescent="0.25">
      <c r="B22" s="273"/>
      <c r="C22" s="273"/>
      <c r="E22" s="288"/>
      <c r="F22" s="288"/>
      <c r="G22" s="131"/>
      <c r="H22" s="131"/>
      <c r="K22" s="257"/>
      <c r="L22" s="257"/>
      <c r="M22" s="257"/>
      <c r="N22" s="257"/>
      <c r="O22" s="257"/>
      <c r="P22" s="257"/>
      <c r="Q22" s="257"/>
      <c r="R22" s="257"/>
    </row>
    <row r="23" spans="2:18" x14ac:dyDescent="0.25">
      <c r="B23" s="273"/>
      <c r="C23" s="273"/>
      <c r="K23" s="257"/>
      <c r="L23" s="257"/>
      <c r="M23" s="257"/>
      <c r="N23" s="257"/>
      <c r="O23" s="257"/>
      <c r="P23" s="257"/>
      <c r="Q23" s="257"/>
      <c r="R23" s="257"/>
    </row>
    <row r="24" spans="2:18" ht="15.75" x14ac:dyDescent="0.25">
      <c r="B24" s="43" t="str">
        <f>IF(OR(S6,S7)=TRUE,"Felmentés","Vizsga")</f>
        <v>Vizsga</v>
      </c>
      <c r="C24" s="43" t="str">
        <f>IF(OR(S6,S7)=TRUE,"Felmentés","Vizsga")</f>
        <v>Vizsga</v>
      </c>
      <c r="K24" s="257"/>
      <c r="L24" s="257"/>
      <c r="M24" s="257"/>
      <c r="N24" s="257"/>
      <c r="O24" s="257"/>
      <c r="P24" s="257"/>
      <c r="Q24" s="257"/>
      <c r="R24" s="257"/>
    </row>
    <row r="25" spans="2:18" ht="15.75" x14ac:dyDescent="0.25">
      <c r="B25" s="39">
        <f>IF(OR(S6,S7)=TRUE,0,Kezdőlap!E35)</f>
        <v>12100</v>
      </c>
      <c r="C25" s="39">
        <f>IF(OR(S6,S7)=TRUE,0,Kezdőlap!E37)</f>
        <v>19400</v>
      </c>
    </row>
  </sheetData>
  <sheetProtection sheet="1" objects="1" scenarios="1" selectLockedCells="1"/>
  <mergeCells count="19">
    <mergeCell ref="B4:I5"/>
    <mergeCell ref="B6:I6"/>
    <mergeCell ref="K4:R5"/>
    <mergeCell ref="K6:R6"/>
    <mergeCell ref="K7:R7"/>
    <mergeCell ref="K8:R8"/>
    <mergeCell ref="K9:R10"/>
    <mergeCell ref="K11:R14"/>
    <mergeCell ref="K15:R15"/>
    <mergeCell ref="K16:R16"/>
    <mergeCell ref="K18:R18"/>
    <mergeCell ref="K19:R24"/>
    <mergeCell ref="B14:C14"/>
    <mergeCell ref="B15:B23"/>
    <mergeCell ref="C15:C23"/>
    <mergeCell ref="E14:F14"/>
    <mergeCell ref="G14:H14"/>
    <mergeCell ref="E15:F22"/>
    <mergeCell ref="G15:H22"/>
  </mergeCells>
  <conditionalFormatting sqref="B24:C24">
    <cfRule type="containsText" dxfId="36" priority="1" operator="containsText" text="Vizsga">
      <formula>NOT(ISERROR(SEARCH("Vizsga",B24)))</formula>
    </cfRule>
  </conditionalFormatting>
  <pageMargins left="0.7" right="0.7" top="0.75" bottom="0.75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8129" r:id="rId4" name="Check Box 1">
              <controlPr defaultSize="0" autoFill="0" autoLine="0" autoPict="0">
                <anchor moveWithCells="1">
                  <from>
                    <xdr:col>1</xdr:col>
                    <xdr:colOff>28575</xdr:colOff>
                    <xdr:row>6</xdr:row>
                    <xdr:rowOff>47625</xdr:rowOff>
                  </from>
                  <to>
                    <xdr:col>6</xdr:col>
                    <xdr:colOff>142875</xdr:colOff>
                    <xdr:row>8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30" r:id="rId5" name="Check Box 2">
              <controlPr defaultSize="0" autoFill="0" autoLine="0" autoPict="0">
                <anchor moveWithCells="1">
                  <from>
                    <xdr:col>1</xdr:col>
                    <xdr:colOff>28575</xdr:colOff>
                    <xdr:row>8</xdr:row>
                    <xdr:rowOff>104775</xdr:rowOff>
                  </from>
                  <to>
                    <xdr:col>8</xdr:col>
                    <xdr:colOff>142875</xdr:colOff>
                    <xdr:row>11</xdr:row>
                    <xdr:rowOff>28575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73F2C9-E7EA-4981-AA7C-C2DD4F855B33}">
  <sheetPr codeName="Munka30">
    <tabColor rgb="FFFFC000"/>
  </sheetPr>
  <dimension ref="B4:X32"/>
  <sheetViews>
    <sheetView showGridLines="0" showRowColHeaders="0" workbookViewId="0">
      <selection activeCell="K22" sqref="K22"/>
    </sheetView>
  </sheetViews>
  <sheetFormatPr defaultRowHeight="15" x14ac:dyDescent="0.25"/>
  <cols>
    <col min="2" max="2" width="10.42578125" customWidth="1"/>
    <col min="3" max="3" width="10.140625" customWidth="1"/>
    <col min="24" max="24" width="6.85546875" style="66" hidden="1" customWidth="1"/>
  </cols>
  <sheetData>
    <row r="4" spans="2:24" x14ac:dyDescent="0.25">
      <c r="B4" s="133" t="s">
        <v>243</v>
      </c>
      <c r="C4" s="133"/>
      <c r="D4" s="133"/>
      <c r="E4" s="133"/>
      <c r="F4" s="133"/>
      <c r="G4" s="133"/>
      <c r="H4" s="133"/>
      <c r="I4" s="133"/>
      <c r="K4" s="132" t="s">
        <v>35</v>
      </c>
      <c r="L4" s="132"/>
      <c r="M4" s="132"/>
      <c r="N4" s="132"/>
      <c r="P4" s="132" t="s">
        <v>190</v>
      </c>
      <c r="Q4" s="132"/>
      <c r="R4" s="132"/>
      <c r="S4" s="132"/>
      <c r="T4" s="132"/>
      <c r="U4" s="132"/>
      <c r="V4" s="132"/>
      <c r="W4" s="132"/>
    </row>
    <row r="5" spans="2:24" x14ac:dyDescent="0.25">
      <c r="B5" s="133"/>
      <c r="C5" s="133"/>
      <c r="D5" s="133"/>
      <c r="E5" s="133"/>
      <c r="F5" s="133"/>
      <c r="G5" s="133"/>
      <c r="H5" s="133"/>
      <c r="I5" s="133"/>
      <c r="K5" s="132"/>
      <c r="L5" s="132"/>
      <c r="M5" s="132"/>
      <c r="N5" s="132"/>
      <c r="P5" s="132"/>
      <c r="Q5" s="132"/>
      <c r="R5" s="132"/>
      <c r="S5" s="132"/>
      <c r="T5" s="132"/>
      <c r="U5" s="132"/>
      <c r="V5" s="132"/>
      <c r="W5" s="132"/>
    </row>
    <row r="6" spans="2:24" ht="14.45" customHeight="1" x14ac:dyDescent="0.25">
      <c r="B6" s="279" t="s">
        <v>239</v>
      </c>
      <c r="C6" s="279"/>
      <c r="D6" s="279"/>
      <c r="E6" s="279"/>
      <c r="F6" s="279"/>
      <c r="G6" s="279"/>
      <c r="H6" s="279"/>
      <c r="I6" s="279"/>
      <c r="K6" s="257" t="str">
        <f>IF(X6=TRUE,"","Hajóvezető vagy kormányos szolgálatban - igazolt - menetben töltött, a hajóvezetői képesítés megszerzését követően, olyan nagyhajón teljesített 120 hajózási nap,  amelyen radarberendezés működik.")</f>
        <v>Hajóvezető vagy kormányos szolgálatban - igazolt - menetben töltött, a hajóvezetői képesítés megszerzését követően, olyan nagyhajón teljesített 120 hajózási nap,  amelyen radarberendezés működik.</v>
      </c>
      <c r="L6" s="257"/>
      <c r="M6" s="257"/>
      <c r="N6" s="257"/>
      <c r="P6" s="191" t="str">
        <f>IF(E16=0,"Okmányigénylés","Írásos vizsgajelentkezési kérelem")</f>
        <v>Írásos vizsgajelentkezési kérelem</v>
      </c>
      <c r="Q6" s="191"/>
      <c r="R6" s="191"/>
      <c r="S6" s="191"/>
      <c r="T6" s="191"/>
      <c r="U6" s="191"/>
      <c r="V6" s="191"/>
      <c r="W6" s="191"/>
      <c r="X6" s="66" t="b">
        <v>0</v>
      </c>
    </row>
    <row r="7" spans="2:24" x14ac:dyDescent="0.25">
      <c r="B7" s="7"/>
      <c r="C7" s="7"/>
      <c r="D7" s="7"/>
      <c r="E7" s="7"/>
      <c r="F7" s="7"/>
      <c r="G7" s="7"/>
      <c r="H7" s="7"/>
      <c r="I7" s="7"/>
      <c r="K7" s="257"/>
      <c r="L7" s="257"/>
      <c r="M7" s="257"/>
      <c r="N7" s="257"/>
      <c r="P7" s="191" t="s">
        <v>55</v>
      </c>
      <c r="Q7" s="191"/>
      <c r="R7" s="191"/>
      <c r="S7" s="191"/>
      <c r="T7" s="191"/>
      <c r="U7" s="191"/>
      <c r="V7" s="191"/>
      <c r="W7" s="191"/>
      <c r="X7" s="66">
        <v>3</v>
      </c>
    </row>
    <row r="8" spans="2:24" x14ac:dyDescent="0.25">
      <c r="B8" s="7"/>
      <c r="C8" s="7"/>
      <c r="D8" s="7"/>
      <c r="E8" s="7"/>
      <c r="F8" s="7"/>
      <c r="G8" s="7"/>
      <c r="H8" s="7"/>
      <c r="I8" s="7"/>
      <c r="K8" s="257"/>
      <c r="L8" s="257"/>
      <c r="M8" s="257"/>
      <c r="N8" s="257"/>
      <c r="P8" s="191" t="s">
        <v>158</v>
      </c>
      <c r="Q8" s="191"/>
      <c r="R8" s="191"/>
      <c r="S8" s="191"/>
      <c r="T8" s="191"/>
      <c r="U8" s="191"/>
      <c r="V8" s="191"/>
      <c r="W8" s="191"/>
    </row>
    <row r="9" spans="2:24" x14ac:dyDescent="0.25">
      <c r="B9" s="7"/>
      <c r="C9" s="7"/>
      <c r="D9" s="7"/>
      <c r="E9" s="7"/>
      <c r="F9" s="7"/>
      <c r="G9" s="7"/>
      <c r="H9" s="7"/>
      <c r="I9" s="7"/>
      <c r="K9" s="257"/>
      <c r="L9" s="257"/>
      <c r="M9" s="257"/>
      <c r="N9" s="257"/>
      <c r="P9" s="257" t="s">
        <v>244</v>
      </c>
      <c r="Q9" s="257"/>
      <c r="R9" s="257"/>
      <c r="S9" s="257"/>
      <c r="T9" s="257"/>
      <c r="U9" s="257"/>
      <c r="V9" s="257"/>
      <c r="W9" s="257"/>
    </row>
    <row r="10" spans="2:24" x14ac:dyDescent="0.25">
      <c r="B10" s="7"/>
      <c r="C10" s="7"/>
      <c r="D10" s="7"/>
      <c r="E10" s="7"/>
      <c r="F10" s="7"/>
      <c r="G10" s="7"/>
      <c r="H10" s="7"/>
      <c r="I10" s="7"/>
      <c r="K10" s="257"/>
      <c r="L10" s="257"/>
      <c r="M10" s="257"/>
      <c r="N10" s="257"/>
      <c r="P10" s="257"/>
      <c r="Q10" s="257"/>
      <c r="R10" s="257"/>
      <c r="S10" s="257"/>
      <c r="T10" s="257"/>
      <c r="U10" s="257"/>
      <c r="V10" s="257"/>
      <c r="W10" s="257"/>
    </row>
    <row r="11" spans="2:24" x14ac:dyDescent="0.25">
      <c r="B11" s="7"/>
      <c r="C11" s="7"/>
      <c r="D11" s="7"/>
      <c r="E11" s="7"/>
      <c r="F11" s="7"/>
      <c r="G11" s="7"/>
      <c r="H11" s="7"/>
      <c r="I11" s="7"/>
      <c r="K11" s="257"/>
      <c r="L11" s="257"/>
      <c r="M11" s="257"/>
      <c r="N11" s="257"/>
      <c r="P11" s="257"/>
      <c r="Q11" s="257"/>
      <c r="R11" s="257"/>
      <c r="S11" s="257"/>
      <c r="T11" s="257"/>
      <c r="U11" s="257"/>
      <c r="V11" s="257"/>
      <c r="W11" s="257"/>
    </row>
    <row r="12" spans="2:24" x14ac:dyDescent="0.25">
      <c r="B12" s="7"/>
      <c r="C12" s="7"/>
      <c r="D12" s="7"/>
      <c r="E12" s="7"/>
      <c r="F12" s="7"/>
      <c r="G12" s="7"/>
      <c r="H12" s="7"/>
      <c r="I12" s="7"/>
      <c r="K12" s="257"/>
      <c r="L12" s="257"/>
      <c r="M12" s="257"/>
      <c r="N12" s="257"/>
      <c r="P12" s="257" t="str">
        <f>IF(X6=TRUE,"","Nagyhajóvezetői bizonyítvány megléte")</f>
        <v>Nagyhajóvezetői bizonyítvány megléte</v>
      </c>
      <c r="Q12" s="257"/>
      <c r="R12" s="257"/>
      <c r="S12" s="257"/>
      <c r="T12" s="257"/>
      <c r="U12" s="257"/>
      <c r="V12" s="257"/>
      <c r="W12" s="257"/>
    </row>
    <row r="13" spans="2:24" ht="14.45" customHeight="1" x14ac:dyDescent="0.25">
      <c r="B13" s="7"/>
      <c r="C13" s="7"/>
      <c r="D13" s="7"/>
      <c r="E13" s="7"/>
      <c r="F13" s="7"/>
      <c r="G13" s="7"/>
      <c r="H13" s="7"/>
      <c r="I13" s="7"/>
      <c r="K13" s="257" t="str">
        <f>IF(X6=TRUE,"","A teljesített szolgálatok időszakára vonatkozó hajónaplót vagy a vízijármű vezetője által hitelesített hajónapló kivonatát a vizsgaközponthoz be kell nyújtani!")</f>
        <v>A teljesített szolgálatok időszakára vonatkozó hajónaplót vagy a vízijármű vezetője által hitelesített hajónapló kivonatát a vizsgaközponthoz be kell nyújtani!</v>
      </c>
      <c r="L13" s="257"/>
      <c r="M13" s="257"/>
      <c r="N13" s="257"/>
      <c r="P13" s="257"/>
      <c r="Q13" s="257"/>
      <c r="R13" s="257"/>
      <c r="S13" s="257"/>
      <c r="T13" s="257"/>
      <c r="U13" s="257"/>
      <c r="V13" s="257"/>
      <c r="W13" s="257"/>
    </row>
    <row r="14" spans="2:24" x14ac:dyDescent="0.25">
      <c r="K14" s="257"/>
      <c r="L14" s="257"/>
      <c r="M14" s="257"/>
      <c r="N14" s="257"/>
      <c r="P14" s="191" t="s">
        <v>206</v>
      </c>
      <c r="Q14" s="191"/>
      <c r="R14" s="191"/>
      <c r="S14" s="191"/>
      <c r="T14" s="191"/>
      <c r="U14" s="191"/>
      <c r="V14" s="191"/>
      <c r="W14" s="191"/>
    </row>
    <row r="15" spans="2:24" ht="15.75" x14ac:dyDescent="0.25">
      <c r="B15" s="125" t="s">
        <v>37</v>
      </c>
      <c r="C15" s="125"/>
      <c r="E15" s="125" t="s">
        <v>43</v>
      </c>
      <c r="F15" s="125"/>
      <c r="G15" s="125" t="s">
        <v>78</v>
      </c>
      <c r="H15" s="125"/>
      <c r="K15" s="257"/>
      <c r="L15" s="257"/>
      <c r="M15" s="257"/>
      <c r="N15" s="257"/>
      <c r="P15" s="191" t="s">
        <v>57</v>
      </c>
      <c r="Q15" s="191"/>
      <c r="R15" s="191"/>
      <c r="S15" s="191"/>
      <c r="T15" s="191"/>
      <c r="U15" s="191"/>
      <c r="V15" s="191"/>
      <c r="W15" s="191"/>
    </row>
    <row r="16" spans="2:24" x14ac:dyDescent="0.25">
      <c r="B16" s="273" t="s">
        <v>245</v>
      </c>
      <c r="C16" s="273" t="s">
        <v>246</v>
      </c>
      <c r="E16" s="288">
        <f>SUM(B26:C26)</f>
        <v>43600</v>
      </c>
      <c r="F16" s="288"/>
      <c r="G16" s="131">
        <f>Kezdőlap!E41</f>
        <v>7300</v>
      </c>
      <c r="H16" s="131"/>
      <c r="K16" s="257"/>
      <c r="L16" s="257"/>
      <c r="M16" s="257"/>
      <c r="N16" s="257"/>
      <c r="P16" s="155" t="str">
        <f>IF(OR(X7=1, X6=TRUE), "A képesítés az EU hajóvezetői engedélyre kerül felvezetésre.", IF(X7=2, "Az A,B kategóriájú hajóvezetői engedély cseréjét követően kerül felvezetésre a képesítő okmányra.", IF(X7=3, "Külön Radarhjajós képesítő okmány kerül kiállításra", "")))</f>
        <v>Külön Radarhjajós képesítő okmány kerül kiállításra</v>
      </c>
      <c r="Q16" s="156"/>
      <c r="R16" s="156"/>
      <c r="S16" s="156"/>
      <c r="T16" s="156"/>
      <c r="U16" s="156"/>
      <c r="V16" s="156"/>
      <c r="W16" s="157"/>
    </row>
    <row r="17" spans="2:23" x14ac:dyDescent="0.25">
      <c r="B17" s="273"/>
      <c r="C17" s="273"/>
      <c r="E17" s="288"/>
      <c r="F17" s="288"/>
      <c r="G17" s="131"/>
      <c r="H17" s="131"/>
      <c r="K17" s="257"/>
      <c r="L17" s="257"/>
      <c r="M17" s="257"/>
      <c r="N17" s="257"/>
      <c r="P17" s="161"/>
      <c r="Q17" s="162"/>
      <c r="R17" s="162"/>
      <c r="S17" s="162"/>
      <c r="T17" s="162"/>
      <c r="U17" s="162"/>
      <c r="V17" s="162"/>
      <c r="W17" s="163"/>
    </row>
    <row r="18" spans="2:23" x14ac:dyDescent="0.25">
      <c r="B18" s="273"/>
      <c r="C18" s="273"/>
      <c r="E18" s="288"/>
      <c r="F18" s="288"/>
      <c r="G18" s="131"/>
      <c r="H18" s="131"/>
      <c r="K18" s="44"/>
      <c r="L18" s="44"/>
      <c r="M18" s="44"/>
      <c r="N18" s="44"/>
    </row>
    <row r="19" spans="2:23" ht="15.75" x14ac:dyDescent="0.25">
      <c r="B19" s="273"/>
      <c r="C19" s="273"/>
      <c r="E19" s="288"/>
      <c r="F19" s="288"/>
      <c r="G19" s="131"/>
      <c r="H19" s="131"/>
      <c r="K19" s="44"/>
      <c r="L19" s="44"/>
      <c r="M19" s="44"/>
      <c r="N19" s="44"/>
      <c r="P19" s="359" t="s">
        <v>247</v>
      </c>
      <c r="Q19" s="360"/>
      <c r="R19" s="360"/>
      <c r="S19" s="360"/>
      <c r="T19" s="360"/>
      <c r="U19" s="360"/>
      <c r="V19" s="360"/>
      <c r="W19" s="361"/>
    </row>
    <row r="20" spans="2:23" x14ac:dyDescent="0.25">
      <c r="B20" s="273"/>
      <c r="C20" s="273"/>
      <c r="E20" s="288"/>
      <c r="F20" s="288"/>
      <c r="G20" s="131"/>
      <c r="H20" s="131"/>
      <c r="K20" s="44"/>
      <c r="L20" s="44"/>
      <c r="M20" s="44"/>
      <c r="N20" s="44"/>
      <c r="P20" s="257" t="str">
        <f>IF(X6=TRUE,"A hajóskapitányi szolgálat igazolására a következő dokumentumok szolgálnak:
a) a hajós szolgálati könyv,
b) a hajónapló,
c) a munkáltatói igazolás,
d) a hajózási hatóság vagy a vizsgaközpont rendelkezésére álló dokumentumok.","A gyakorlati vizsgatárgy vizsgája a sikeres tesztvizsgát követően kezdhető meg.")</f>
        <v>A gyakorlati vizsgatárgy vizsgája a sikeres tesztvizsgát követően kezdhető meg.</v>
      </c>
      <c r="Q20" s="257"/>
      <c r="R20" s="257"/>
      <c r="S20" s="257"/>
      <c r="T20" s="257"/>
      <c r="U20" s="257"/>
      <c r="V20" s="257"/>
      <c r="W20" s="257"/>
    </row>
    <row r="21" spans="2:23" x14ac:dyDescent="0.25">
      <c r="B21" s="273"/>
      <c r="C21" s="273"/>
      <c r="E21" s="288"/>
      <c r="F21" s="288"/>
      <c r="G21" s="131"/>
      <c r="H21" s="131"/>
      <c r="P21" s="257"/>
      <c r="Q21" s="257"/>
      <c r="R21" s="257"/>
      <c r="S21" s="257"/>
      <c r="T21" s="257"/>
      <c r="U21" s="257"/>
      <c r="V21" s="257"/>
      <c r="W21" s="257"/>
    </row>
    <row r="22" spans="2:23" x14ac:dyDescent="0.25">
      <c r="B22" s="273"/>
      <c r="C22" s="273"/>
      <c r="E22" s="288"/>
      <c r="F22" s="288"/>
      <c r="G22" s="131"/>
      <c r="H22" s="131"/>
      <c r="P22" s="257"/>
      <c r="Q22" s="257"/>
      <c r="R22" s="257"/>
      <c r="S22" s="257"/>
      <c r="T22" s="257"/>
      <c r="U22" s="257"/>
      <c r="V22" s="257"/>
      <c r="W22" s="257"/>
    </row>
    <row r="23" spans="2:23" x14ac:dyDescent="0.25">
      <c r="B23" s="273"/>
      <c r="C23" s="273"/>
      <c r="E23" s="288"/>
      <c r="F23" s="288"/>
      <c r="G23" s="131"/>
      <c r="H23" s="131"/>
      <c r="P23" s="257"/>
      <c r="Q23" s="257"/>
      <c r="R23" s="257"/>
      <c r="S23" s="257"/>
      <c r="T23" s="257"/>
      <c r="U23" s="257"/>
      <c r="V23" s="257"/>
      <c r="W23" s="257"/>
    </row>
    <row r="24" spans="2:23" x14ac:dyDescent="0.25">
      <c r="B24" s="273"/>
      <c r="C24" s="273"/>
      <c r="P24" s="257"/>
      <c r="Q24" s="257"/>
      <c r="R24" s="257"/>
      <c r="S24" s="257"/>
      <c r="T24" s="257"/>
      <c r="U24" s="257"/>
      <c r="V24" s="257"/>
      <c r="W24" s="257"/>
    </row>
    <row r="25" spans="2:23" ht="15.75" x14ac:dyDescent="0.25">
      <c r="B25" s="43" t="str">
        <f>IF(X6=TRUE,"Felmentés","Vizsga")</f>
        <v>Vizsga</v>
      </c>
      <c r="C25" s="43" t="str">
        <f>IF(X6=TRUE,"Felmentés","Vizsga")</f>
        <v>Vizsga</v>
      </c>
      <c r="P25" s="257" t="str">
        <f>IF(X6=TRUE,"","A radar segítségével hajózó hajóvezető kompetenciájának felmérésére szolgáló gyakorlati vizsgákhoz használt vízi járműveknek működőképes belvízi ECDIS rendszerrel vagy az elektronikus térképek megjelenítésére szolgáló hasonló eszközzel kell rendelkezniük.")</f>
        <v>A radar segítségével hajózó hajóvezető kompetenciájának felmérésére szolgáló gyakorlati vizsgákhoz használt vízi járműveknek működőképes belvízi ECDIS rendszerrel vagy az elektronikus térképek megjelenítésére szolgáló hasonló eszközzel kell rendelkezniük.</v>
      </c>
      <c r="Q25" s="257"/>
      <c r="R25" s="257"/>
      <c r="S25" s="257"/>
      <c r="T25" s="257"/>
      <c r="U25" s="257"/>
      <c r="V25" s="257"/>
      <c r="W25" s="257"/>
    </row>
    <row r="26" spans="2:23" ht="15.75" x14ac:dyDescent="0.25">
      <c r="B26" s="39">
        <f>IF(X6=TRUE,0,Kezdőlap!E35)</f>
        <v>12100</v>
      </c>
      <c r="C26" s="39">
        <f>IF(X6=TRUE,0,Kezdőlap!E40)</f>
        <v>31500</v>
      </c>
      <c r="P26" s="257"/>
      <c r="Q26" s="257"/>
      <c r="R26" s="257"/>
      <c r="S26" s="257"/>
      <c r="T26" s="257"/>
      <c r="U26" s="257"/>
      <c r="V26" s="257"/>
      <c r="W26" s="257"/>
    </row>
    <row r="27" spans="2:23" x14ac:dyDescent="0.25">
      <c r="P27" s="257"/>
      <c r="Q27" s="257"/>
      <c r="R27" s="257"/>
      <c r="S27" s="257"/>
      <c r="T27" s="257"/>
      <c r="U27" s="257"/>
      <c r="V27" s="257"/>
      <c r="W27" s="257"/>
    </row>
    <row r="28" spans="2:23" x14ac:dyDescent="0.25">
      <c r="P28" s="257"/>
      <c r="Q28" s="257"/>
      <c r="R28" s="257"/>
      <c r="S28" s="257"/>
      <c r="T28" s="257"/>
      <c r="U28" s="257"/>
      <c r="V28" s="257"/>
      <c r="W28" s="257"/>
    </row>
    <row r="29" spans="2:23" x14ac:dyDescent="0.25">
      <c r="P29" s="350" t="str">
        <f>IF(AND(X7=3,X6=FALSE),"C kategóriájú hajóvezetői engedéllye, csak Magyarország belvizein jogosult radarberendezés kezelésére!","")</f>
        <v>C kategóriájú hajóvezetői engedéllye, csak Magyarország belvizein jogosult radarberendezés kezelésére!</v>
      </c>
      <c r="Q29" s="351"/>
      <c r="R29" s="351"/>
      <c r="S29" s="351"/>
      <c r="T29" s="351"/>
      <c r="U29" s="351"/>
      <c r="V29" s="351"/>
      <c r="W29" s="352"/>
    </row>
    <row r="30" spans="2:23" x14ac:dyDescent="0.25">
      <c r="B30" s="296" t="s">
        <v>282</v>
      </c>
      <c r="C30" s="297"/>
      <c r="D30" s="297"/>
      <c r="E30" s="297"/>
      <c r="F30" s="297"/>
      <c r="G30" s="297"/>
      <c r="H30" s="297"/>
      <c r="I30" s="297"/>
      <c r="J30" s="298"/>
      <c r="P30" s="353"/>
      <c r="Q30" s="354"/>
      <c r="R30" s="354"/>
      <c r="S30" s="354"/>
      <c r="T30" s="354"/>
      <c r="U30" s="354"/>
      <c r="V30" s="354"/>
      <c r="W30" s="355"/>
    </row>
    <row r="31" spans="2:23" x14ac:dyDescent="0.25">
      <c r="B31" s="299"/>
      <c r="C31" s="321"/>
      <c r="D31" s="321"/>
      <c r="E31" s="321"/>
      <c r="F31" s="321"/>
      <c r="G31" s="321"/>
      <c r="H31" s="321"/>
      <c r="I31" s="321"/>
      <c r="J31" s="301"/>
      <c r="P31" s="353"/>
      <c r="Q31" s="354"/>
      <c r="R31" s="354"/>
      <c r="S31" s="354"/>
      <c r="T31" s="354"/>
      <c r="U31" s="354"/>
      <c r="V31" s="354"/>
      <c r="W31" s="355"/>
    </row>
    <row r="32" spans="2:23" x14ac:dyDescent="0.25">
      <c r="B32" s="302"/>
      <c r="C32" s="303"/>
      <c r="D32" s="303"/>
      <c r="E32" s="303"/>
      <c r="F32" s="303"/>
      <c r="G32" s="303"/>
      <c r="H32" s="303"/>
      <c r="I32" s="303"/>
      <c r="J32" s="304"/>
      <c r="P32" s="356"/>
      <c r="Q32" s="357"/>
      <c r="R32" s="357"/>
      <c r="S32" s="357"/>
      <c r="T32" s="357"/>
      <c r="U32" s="357"/>
      <c r="V32" s="357"/>
      <c r="W32" s="358"/>
    </row>
  </sheetData>
  <sheetProtection sheet="1" objects="1" scenarios="1" selectLockedCells="1"/>
  <mergeCells count="26">
    <mergeCell ref="B30:J32"/>
    <mergeCell ref="K4:N5"/>
    <mergeCell ref="K6:N12"/>
    <mergeCell ref="K13:N17"/>
    <mergeCell ref="B6:I6"/>
    <mergeCell ref="B4:I5"/>
    <mergeCell ref="G15:H15"/>
    <mergeCell ref="G16:H23"/>
    <mergeCell ref="B15:C15"/>
    <mergeCell ref="B16:B24"/>
    <mergeCell ref="C16:C24"/>
    <mergeCell ref="E15:F15"/>
    <mergeCell ref="E16:F23"/>
    <mergeCell ref="P4:W5"/>
    <mergeCell ref="P6:W6"/>
    <mergeCell ref="P7:W7"/>
    <mergeCell ref="P8:W8"/>
    <mergeCell ref="P9:W11"/>
    <mergeCell ref="P29:W32"/>
    <mergeCell ref="P16:W17"/>
    <mergeCell ref="P25:W28"/>
    <mergeCell ref="P12:W13"/>
    <mergeCell ref="P14:W14"/>
    <mergeCell ref="P15:W15"/>
    <mergeCell ref="P19:W19"/>
    <mergeCell ref="P20:W24"/>
  </mergeCells>
  <conditionalFormatting sqref="B25:C25">
    <cfRule type="containsText" dxfId="35" priority="1" operator="containsText" text="Vizsga">
      <formula>NOT(ISERROR(SEARCH("Vizsga",B25)))</formula>
    </cfRule>
  </conditionalFormatting>
  <pageMargins left="0.7" right="0.7" top="0.75" bottom="0.75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9153" r:id="rId4" name="Check Box 1">
              <controlPr defaultSize="0" autoFill="0" autoLine="0" autoPict="0">
                <anchor moveWithCells="1">
                  <from>
                    <xdr:col>1</xdr:col>
                    <xdr:colOff>47625</xdr:colOff>
                    <xdr:row>6</xdr:row>
                    <xdr:rowOff>47625</xdr:rowOff>
                  </from>
                  <to>
                    <xdr:col>8</xdr:col>
                    <xdr:colOff>438150</xdr:colOff>
                    <xdr:row>8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54" r:id="rId5" name="Option Button 2">
              <controlPr defaultSize="0" autoFill="0" autoLine="0" autoPict="0">
                <anchor moveWithCells="1">
                  <from>
                    <xdr:col>1</xdr:col>
                    <xdr:colOff>47625</xdr:colOff>
                    <xdr:row>8</xdr:row>
                    <xdr:rowOff>152400</xdr:rowOff>
                  </from>
                  <to>
                    <xdr:col>3</xdr:col>
                    <xdr:colOff>95250</xdr:colOff>
                    <xdr:row>9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55" r:id="rId6" name="Option Button 3">
              <controlPr defaultSize="0" autoFill="0" autoLine="0" autoPict="0">
                <anchor moveWithCells="1">
                  <from>
                    <xdr:col>1</xdr:col>
                    <xdr:colOff>47625</xdr:colOff>
                    <xdr:row>10</xdr:row>
                    <xdr:rowOff>38100</xdr:rowOff>
                  </from>
                  <to>
                    <xdr:col>5</xdr:col>
                    <xdr:colOff>28575</xdr:colOff>
                    <xdr:row>11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56" r:id="rId7" name="Option Button 4">
              <controlPr defaultSize="0" autoFill="0" autoLine="0" autoPict="0">
                <anchor moveWithCells="1">
                  <from>
                    <xdr:col>1</xdr:col>
                    <xdr:colOff>47625</xdr:colOff>
                    <xdr:row>11</xdr:row>
                    <xdr:rowOff>142875</xdr:rowOff>
                  </from>
                  <to>
                    <xdr:col>4</xdr:col>
                    <xdr:colOff>276225</xdr:colOff>
                    <xdr:row>12</xdr:row>
                    <xdr:rowOff>161925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BCDBC1-AD99-4D3A-BC73-F3C1A7F29775}">
  <sheetPr codeName="Munka31">
    <tabColor rgb="FFFFC000"/>
  </sheetPr>
  <dimension ref="B4:AC31"/>
  <sheetViews>
    <sheetView showGridLines="0" showRowColHeaders="0" workbookViewId="0">
      <selection activeCell="Y8" sqref="Y8"/>
    </sheetView>
  </sheetViews>
  <sheetFormatPr defaultRowHeight="15" x14ac:dyDescent="0.25"/>
  <cols>
    <col min="22" max="22" width="6.85546875" bestFit="1" customWidth="1"/>
    <col min="28" max="28" width="9.140625" customWidth="1"/>
    <col min="29" max="29" width="9.140625" style="66" hidden="1" customWidth="1"/>
    <col min="30" max="30" width="9.140625" customWidth="1"/>
  </cols>
  <sheetData>
    <row r="4" spans="2:29" x14ac:dyDescent="0.25">
      <c r="B4" s="133" t="s">
        <v>248</v>
      </c>
      <c r="C4" s="133"/>
      <c r="D4" s="133"/>
      <c r="E4" s="133"/>
      <c r="F4" s="133"/>
      <c r="G4" s="133"/>
      <c r="H4" s="133"/>
      <c r="I4" s="133"/>
      <c r="J4" s="133"/>
      <c r="L4" s="149" t="s">
        <v>35</v>
      </c>
      <c r="M4" s="150"/>
      <c r="N4" s="150"/>
      <c r="O4" s="151"/>
      <c r="Q4" s="132" t="s">
        <v>249</v>
      </c>
      <c r="R4" s="132"/>
      <c r="S4" s="132"/>
      <c r="T4" s="132"/>
      <c r="U4" s="132"/>
      <c r="V4" s="132"/>
      <c r="W4" s="132"/>
    </row>
    <row r="5" spans="2:29" x14ac:dyDescent="0.25">
      <c r="B5" s="133"/>
      <c r="C5" s="133"/>
      <c r="D5" s="133"/>
      <c r="E5" s="133"/>
      <c r="F5" s="133"/>
      <c r="G5" s="133"/>
      <c r="H5" s="133"/>
      <c r="I5" s="133"/>
      <c r="J5" s="133"/>
      <c r="L5" s="152"/>
      <c r="M5" s="153"/>
      <c r="N5" s="153"/>
      <c r="O5" s="154"/>
      <c r="Q5" s="132"/>
      <c r="R5" s="132"/>
      <c r="S5" s="132"/>
      <c r="T5" s="132"/>
      <c r="U5" s="132"/>
      <c r="V5" s="132"/>
      <c r="W5" s="132"/>
    </row>
    <row r="6" spans="2:29" ht="14.45" customHeight="1" x14ac:dyDescent="0.25">
      <c r="B6" s="295" t="s">
        <v>239</v>
      </c>
      <c r="C6" s="295"/>
      <c r="D6" s="295"/>
      <c r="E6" s="295"/>
      <c r="F6" s="295"/>
      <c r="G6" s="295"/>
      <c r="H6" s="295"/>
      <c r="I6" s="295"/>
      <c r="J6" s="295"/>
      <c r="L6" s="155" t="str">
        <f>IF(AC6=TRUE,"","Legalább 720 nap hajózási idő, és ebből legalább 540 nap hajózási idő képesített hajóvezetőként, és legalább 180 nap hajózási idő nagy kötelék irányításában legalább kormányosi szolgálatban.")</f>
        <v>Legalább 720 nap hajózási idő, és ebből legalább 540 nap hajózási idő képesített hajóvezetőként, és legalább 180 nap hajózási idő nagy kötelék irányításában legalább kormányosi szolgálatban.</v>
      </c>
      <c r="M6" s="156"/>
      <c r="N6" s="156"/>
      <c r="O6" s="157"/>
      <c r="Q6" s="191" t="s">
        <v>250</v>
      </c>
      <c r="R6" s="191"/>
      <c r="S6" s="191"/>
      <c r="T6" s="191"/>
      <c r="U6" s="191"/>
      <c r="V6" s="191"/>
      <c r="W6" s="191"/>
      <c r="AC6" s="66" t="b">
        <v>0</v>
      </c>
    </row>
    <row r="7" spans="2:29" x14ac:dyDescent="0.25">
      <c r="B7" s="13"/>
      <c r="C7" s="14"/>
      <c r="D7" s="14"/>
      <c r="E7" s="14"/>
      <c r="F7" s="14"/>
      <c r="G7" s="14"/>
      <c r="H7" s="14"/>
      <c r="I7" s="14"/>
      <c r="J7" s="15"/>
      <c r="L7" s="158"/>
      <c r="M7" s="159"/>
      <c r="N7" s="159"/>
      <c r="O7" s="160"/>
      <c r="Q7" s="191" t="s">
        <v>55</v>
      </c>
      <c r="R7" s="191"/>
      <c r="S7" s="191"/>
      <c r="T7" s="191"/>
      <c r="U7" s="191"/>
      <c r="V7" s="191"/>
      <c r="W7" s="191"/>
    </row>
    <row r="8" spans="2:29" x14ac:dyDescent="0.25">
      <c r="B8" s="6"/>
      <c r="C8" s="7"/>
      <c r="D8" s="7"/>
      <c r="E8" s="7"/>
      <c r="F8" s="7"/>
      <c r="G8" s="7"/>
      <c r="H8" s="7"/>
      <c r="I8" s="7"/>
      <c r="J8" s="8"/>
      <c r="L8" s="158"/>
      <c r="M8" s="159"/>
      <c r="N8" s="159"/>
      <c r="O8" s="160"/>
      <c r="Q8" s="191" t="s">
        <v>158</v>
      </c>
      <c r="R8" s="191"/>
      <c r="S8" s="191"/>
      <c r="T8" s="191"/>
      <c r="U8" s="191"/>
      <c r="V8" s="191"/>
      <c r="W8" s="191"/>
    </row>
    <row r="9" spans="2:29" x14ac:dyDescent="0.25">
      <c r="B9" s="9"/>
      <c r="C9" s="10"/>
      <c r="D9" s="10"/>
      <c r="E9" s="10"/>
      <c r="F9" s="10"/>
      <c r="G9" s="10"/>
      <c r="H9" s="10"/>
      <c r="I9" s="10"/>
      <c r="J9" s="11"/>
      <c r="L9" s="158"/>
      <c r="M9" s="159"/>
      <c r="N9" s="159"/>
      <c r="O9" s="160"/>
      <c r="Q9" s="257" t="s">
        <v>155</v>
      </c>
      <c r="R9" s="257"/>
      <c r="S9" s="257"/>
      <c r="T9" s="257"/>
      <c r="U9" s="257"/>
      <c r="V9" s="257"/>
      <c r="W9" s="257"/>
    </row>
    <row r="10" spans="2:29" x14ac:dyDescent="0.25">
      <c r="L10" s="158"/>
      <c r="M10" s="159"/>
      <c r="N10" s="159"/>
      <c r="O10" s="160"/>
      <c r="Q10" s="257"/>
      <c r="R10" s="257"/>
      <c r="S10" s="257"/>
      <c r="T10" s="257"/>
      <c r="U10" s="257"/>
      <c r="V10" s="257"/>
      <c r="W10" s="257"/>
    </row>
    <row r="11" spans="2:29" ht="15.75" x14ac:dyDescent="0.25">
      <c r="B11" s="125" t="s">
        <v>78</v>
      </c>
      <c r="C11" s="125"/>
      <c r="L11" s="158"/>
      <c r="M11" s="159"/>
      <c r="N11" s="159"/>
      <c r="O11" s="160"/>
      <c r="Q11" s="148" t="str">
        <f>IF(AC6=TRUE,"","UNIÓS hajóvezetői bizonyítvány megléte")</f>
        <v>UNIÓS hajóvezetői bizonyítvány megléte</v>
      </c>
      <c r="R11" s="148"/>
      <c r="S11" s="148"/>
      <c r="T11" s="148"/>
      <c r="U11" s="148"/>
      <c r="V11" s="148"/>
      <c r="W11" s="148"/>
    </row>
    <row r="12" spans="2:29" x14ac:dyDescent="0.25">
      <c r="B12" s="131">
        <f>Kezdőlap!E41</f>
        <v>7300</v>
      </c>
      <c r="C12" s="131"/>
      <c r="L12" s="161"/>
      <c r="M12" s="162"/>
      <c r="N12" s="162"/>
      <c r="O12" s="163"/>
      <c r="Q12" s="191" t="s">
        <v>206</v>
      </c>
      <c r="R12" s="191"/>
      <c r="S12" s="191"/>
      <c r="T12" s="191"/>
      <c r="U12" s="191"/>
      <c r="V12" s="191"/>
      <c r="W12" s="191"/>
    </row>
    <row r="13" spans="2:29" x14ac:dyDescent="0.25">
      <c r="B13" s="131"/>
      <c r="C13" s="131"/>
      <c r="Q13" s="257" t="s">
        <v>57</v>
      </c>
      <c r="R13" s="257"/>
      <c r="S13" s="257"/>
      <c r="T13" s="257"/>
      <c r="U13" s="257"/>
      <c r="V13" s="257"/>
      <c r="W13" s="257"/>
    </row>
    <row r="14" spans="2:29" x14ac:dyDescent="0.25">
      <c r="B14" s="131"/>
      <c r="C14" s="131"/>
    </row>
    <row r="15" spans="2:29" x14ac:dyDescent="0.25">
      <c r="B15" s="131"/>
      <c r="C15" s="131"/>
    </row>
    <row r="16" spans="2:29" ht="15.75" x14ac:dyDescent="0.25">
      <c r="B16" s="131"/>
      <c r="C16" s="131"/>
      <c r="Q16" s="348" t="s">
        <v>247</v>
      </c>
      <c r="R16" s="348"/>
      <c r="S16" s="348"/>
      <c r="T16" s="348"/>
      <c r="U16" s="348"/>
      <c r="V16" s="348"/>
      <c r="W16" s="348"/>
      <c r="X16" s="348"/>
      <c r="Y16" s="348"/>
    </row>
    <row r="17" spans="2:25" x14ac:dyDescent="0.25">
      <c r="B17" s="131"/>
      <c r="C17" s="131"/>
      <c r="Q17" s="257" t="s">
        <v>251</v>
      </c>
      <c r="R17" s="257"/>
      <c r="S17" s="257"/>
      <c r="T17" s="257"/>
      <c r="U17" s="257"/>
      <c r="V17" s="257"/>
      <c r="W17" s="257"/>
      <c r="X17" s="257"/>
      <c r="Y17" s="257"/>
    </row>
    <row r="18" spans="2:25" ht="14.45" customHeight="1" x14ac:dyDescent="0.25">
      <c r="B18" s="131"/>
      <c r="C18" s="131"/>
      <c r="Q18" s="257"/>
      <c r="R18" s="257"/>
      <c r="S18" s="257"/>
      <c r="T18" s="257"/>
      <c r="U18" s="257"/>
      <c r="V18" s="257"/>
      <c r="W18" s="257"/>
      <c r="X18" s="257"/>
      <c r="Y18" s="257"/>
    </row>
    <row r="19" spans="2:25" x14ac:dyDescent="0.25">
      <c r="B19" s="131"/>
      <c r="C19" s="131"/>
      <c r="Q19" s="257" t="s">
        <v>252</v>
      </c>
      <c r="R19" s="257"/>
      <c r="S19" s="257"/>
      <c r="T19" s="257"/>
      <c r="U19" s="257"/>
      <c r="V19" s="257"/>
      <c r="W19" s="257"/>
      <c r="X19" s="257"/>
      <c r="Y19" s="257"/>
    </row>
    <row r="20" spans="2:25" x14ac:dyDescent="0.25">
      <c r="Q20" s="257"/>
      <c r="R20" s="257"/>
      <c r="S20" s="257"/>
      <c r="T20" s="257"/>
      <c r="U20" s="257"/>
      <c r="V20" s="257"/>
      <c r="W20" s="257"/>
      <c r="X20" s="257"/>
      <c r="Y20" s="257"/>
    </row>
    <row r="21" spans="2:25" x14ac:dyDescent="0.25">
      <c r="Q21" s="257"/>
      <c r="R21" s="257"/>
      <c r="S21" s="257"/>
      <c r="T21" s="257"/>
      <c r="U21" s="257"/>
      <c r="V21" s="257"/>
      <c r="W21" s="257"/>
      <c r="X21" s="257"/>
      <c r="Y21" s="257"/>
    </row>
    <row r="22" spans="2:25" x14ac:dyDescent="0.25">
      <c r="Q22" s="257"/>
      <c r="R22" s="257"/>
      <c r="S22" s="257"/>
      <c r="T22" s="257"/>
      <c r="U22" s="257"/>
      <c r="V22" s="257"/>
      <c r="W22" s="257"/>
      <c r="X22" s="257"/>
      <c r="Y22" s="257"/>
    </row>
    <row r="23" spans="2:25" x14ac:dyDescent="0.25">
      <c r="Q23" s="257"/>
      <c r="R23" s="257"/>
      <c r="S23" s="257"/>
      <c r="T23" s="257"/>
      <c r="U23" s="257"/>
      <c r="V23" s="257"/>
      <c r="W23" s="257"/>
      <c r="X23" s="257"/>
      <c r="Y23" s="257"/>
    </row>
    <row r="24" spans="2:25" x14ac:dyDescent="0.25">
      <c r="Q24" s="257"/>
      <c r="R24" s="257"/>
      <c r="S24" s="257"/>
      <c r="T24" s="257"/>
      <c r="U24" s="257"/>
      <c r="V24" s="257"/>
      <c r="W24" s="257"/>
      <c r="X24" s="257"/>
      <c r="Y24" s="257"/>
    </row>
    <row r="25" spans="2:25" x14ac:dyDescent="0.25">
      <c r="B25" s="213" t="s">
        <v>253</v>
      </c>
      <c r="C25" s="214"/>
      <c r="D25" s="214"/>
      <c r="E25" s="214"/>
      <c r="F25" s="214"/>
      <c r="G25" s="214"/>
      <c r="H25" s="214"/>
      <c r="I25" s="214"/>
      <c r="J25" s="215"/>
      <c r="Q25" s="257"/>
      <c r="R25" s="257"/>
      <c r="S25" s="257"/>
      <c r="T25" s="257"/>
      <c r="U25" s="257"/>
      <c r="V25" s="257"/>
      <c r="W25" s="257"/>
      <c r="X25" s="257"/>
      <c r="Y25" s="257"/>
    </row>
    <row r="26" spans="2:25" x14ac:dyDescent="0.25">
      <c r="B26" s="219"/>
      <c r="C26" s="220"/>
      <c r="D26" s="220"/>
      <c r="E26" s="220"/>
      <c r="F26" s="220"/>
      <c r="G26" s="220"/>
      <c r="H26" s="220"/>
      <c r="I26" s="220"/>
      <c r="J26" s="221"/>
      <c r="Q26" s="257" t="str">
        <f>IF(AC6=TRUE,"A hajóskapitányi szolgálat igazolására a következő dokumentumok szolgálnak:
a) a hajós szolgálati könyv,
b) a hajónapló,
c) a munkáltatói igazolás,
d) a hajózási hatóság vagy a vizsgaközpont rendelkezésére álló dokumentumok.","")</f>
        <v/>
      </c>
      <c r="R26" s="257"/>
      <c r="S26" s="257"/>
      <c r="T26" s="257"/>
      <c r="U26" s="257"/>
      <c r="V26" s="257"/>
      <c r="W26" s="257"/>
      <c r="X26" s="257"/>
      <c r="Y26" s="257"/>
    </row>
    <row r="27" spans="2:25" x14ac:dyDescent="0.25">
      <c r="Q27" s="257"/>
      <c r="R27" s="257"/>
      <c r="S27" s="257"/>
      <c r="T27" s="257"/>
      <c r="U27" s="257"/>
      <c r="V27" s="257"/>
      <c r="W27" s="257"/>
      <c r="X27" s="257"/>
      <c r="Y27" s="257"/>
    </row>
    <row r="28" spans="2:25" x14ac:dyDescent="0.25">
      <c r="Q28" s="257"/>
      <c r="R28" s="257"/>
      <c r="S28" s="257"/>
      <c r="T28" s="257"/>
      <c r="U28" s="257"/>
      <c r="V28" s="257"/>
      <c r="W28" s="257"/>
      <c r="X28" s="257"/>
      <c r="Y28" s="257"/>
    </row>
    <row r="29" spans="2:25" x14ac:dyDescent="0.25">
      <c r="Q29" s="257"/>
      <c r="R29" s="257"/>
      <c r="S29" s="257"/>
      <c r="T29" s="257"/>
      <c r="U29" s="257"/>
      <c r="V29" s="257"/>
      <c r="W29" s="257"/>
      <c r="X29" s="257"/>
      <c r="Y29" s="257"/>
    </row>
    <row r="30" spans="2:25" x14ac:dyDescent="0.25">
      <c r="Q30" s="257"/>
      <c r="R30" s="257"/>
      <c r="S30" s="257"/>
      <c r="T30" s="257"/>
      <c r="U30" s="257"/>
      <c r="V30" s="257"/>
      <c r="W30" s="257"/>
      <c r="X30" s="257"/>
      <c r="Y30" s="257"/>
    </row>
    <row r="31" spans="2:25" x14ac:dyDescent="0.25">
      <c r="Q31" s="257"/>
      <c r="R31" s="257"/>
      <c r="S31" s="257"/>
      <c r="T31" s="257"/>
      <c r="U31" s="257"/>
      <c r="V31" s="257"/>
      <c r="W31" s="257"/>
      <c r="X31" s="257"/>
      <c r="Y31" s="257"/>
    </row>
  </sheetData>
  <sheetProtection sheet="1" objects="1" scenarios="1" selectLockedCells="1"/>
  <mergeCells count="19">
    <mergeCell ref="B4:J5"/>
    <mergeCell ref="Q4:W5"/>
    <mergeCell ref="Q6:W6"/>
    <mergeCell ref="Q7:W7"/>
    <mergeCell ref="L4:O5"/>
    <mergeCell ref="Q8:W8"/>
    <mergeCell ref="Q9:W10"/>
    <mergeCell ref="Q26:Y31"/>
    <mergeCell ref="B25:J26"/>
    <mergeCell ref="Q17:Y18"/>
    <mergeCell ref="Q19:Y25"/>
    <mergeCell ref="L6:O12"/>
    <mergeCell ref="Q11:W11"/>
    <mergeCell ref="Q12:W12"/>
    <mergeCell ref="Q13:W13"/>
    <mergeCell ref="B11:C11"/>
    <mergeCell ref="B12:C19"/>
    <mergeCell ref="Q16:Y16"/>
    <mergeCell ref="B6:J6"/>
  </mergeCells>
  <pageMargins left="0.7" right="0.7" top="0.75" bottom="0.75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50177" r:id="rId4" name="Check Box 1">
              <controlPr defaultSize="0" autoFill="0" autoLine="0" autoPict="0">
                <anchor moveWithCells="1">
                  <from>
                    <xdr:col>1</xdr:col>
                    <xdr:colOff>9525</xdr:colOff>
                    <xdr:row>6</xdr:row>
                    <xdr:rowOff>57150</xdr:rowOff>
                  </from>
                  <to>
                    <xdr:col>9</xdr:col>
                    <xdr:colOff>400050</xdr:colOff>
                    <xdr:row>8</xdr:row>
                    <xdr:rowOff>142875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14BA11-80BB-4583-A87A-C964E8217272}">
  <sheetPr codeName="Munka32">
    <tabColor rgb="FFFFC000"/>
  </sheetPr>
  <dimension ref="B4:X31"/>
  <sheetViews>
    <sheetView showGridLines="0" showRowColHeaders="0" workbookViewId="0">
      <selection activeCell="X1" sqref="X1:X1048576"/>
    </sheetView>
  </sheetViews>
  <sheetFormatPr defaultRowHeight="15" x14ac:dyDescent="0.25"/>
  <cols>
    <col min="2" max="2" width="10.85546875" customWidth="1"/>
    <col min="3" max="3" width="11" customWidth="1"/>
    <col min="24" max="24" width="6.85546875" style="66" hidden="1" customWidth="1"/>
  </cols>
  <sheetData>
    <row r="4" spans="2:24" x14ac:dyDescent="0.25">
      <c r="B4" s="133" t="s">
        <v>18</v>
      </c>
      <c r="C4" s="133"/>
      <c r="D4" s="133"/>
      <c r="E4" s="133"/>
      <c r="F4" s="133"/>
      <c r="G4" s="133"/>
      <c r="H4" s="133"/>
      <c r="I4" s="133"/>
      <c r="J4" s="133"/>
      <c r="L4" s="149" t="s">
        <v>35</v>
      </c>
      <c r="M4" s="150"/>
      <c r="N4" s="150"/>
      <c r="O4" s="151"/>
      <c r="Q4" s="132" t="s">
        <v>249</v>
      </c>
      <c r="R4" s="132"/>
      <c r="S4" s="132"/>
      <c r="T4" s="132"/>
      <c r="U4" s="132"/>
      <c r="V4" s="132"/>
      <c r="W4" s="132"/>
    </row>
    <row r="5" spans="2:24" x14ac:dyDescent="0.25">
      <c r="B5" s="133"/>
      <c r="C5" s="133"/>
      <c r="D5" s="133"/>
      <c r="E5" s="133"/>
      <c r="F5" s="133"/>
      <c r="G5" s="133"/>
      <c r="H5" s="133"/>
      <c r="I5" s="133"/>
      <c r="J5" s="133"/>
      <c r="L5" s="152"/>
      <c r="M5" s="153"/>
      <c r="N5" s="153"/>
      <c r="O5" s="154"/>
      <c r="Q5" s="132"/>
      <c r="R5" s="132"/>
      <c r="S5" s="132"/>
      <c r="T5" s="132"/>
      <c r="U5" s="132"/>
      <c r="V5" s="132"/>
      <c r="W5" s="132"/>
    </row>
    <row r="6" spans="2:24" x14ac:dyDescent="0.25">
      <c r="B6" s="362"/>
      <c r="C6" s="363"/>
      <c r="D6" s="363"/>
      <c r="E6" s="363"/>
      <c r="F6" s="363"/>
      <c r="G6" s="363"/>
      <c r="H6" s="363"/>
      <c r="I6" s="363"/>
      <c r="J6" s="364"/>
      <c r="L6" s="155" t="s">
        <v>258</v>
      </c>
      <c r="M6" s="156"/>
      <c r="N6" s="156"/>
      <c r="O6" s="157"/>
      <c r="Q6" s="148" t="str">
        <f>IF(OR(X6)=TRUE,"Okmányigénylés",IF(OR(X7)=TRUE,"Írásos vizsgajelentkezési kérelem",""))</f>
        <v/>
      </c>
      <c r="R6" s="148"/>
      <c r="S6" s="148"/>
      <c r="T6" s="148"/>
      <c r="U6" s="148"/>
      <c r="V6" s="148"/>
      <c r="W6" s="148"/>
      <c r="X6" s="66" t="b">
        <v>0</v>
      </c>
    </row>
    <row r="7" spans="2:24" x14ac:dyDescent="0.25">
      <c r="B7" s="13"/>
      <c r="C7" s="14"/>
      <c r="D7" s="14"/>
      <c r="E7" s="14"/>
      <c r="F7" s="14"/>
      <c r="G7" s="14"/>
      <c r="H7" s="14"/>
      <c r="I7" s="14"/>
      <c r="J7" s="15"/>
      <c r="L7" s="158"/>
      <c r="M7" s="159"/>
      <c r="N7" s="159"/>
      <c r="O7" s="160"/>
      <c r="Q7" s="148" t="s">
        <v>55</v>
      </c>
      <c r="R7" s="148"/>
      <c r="S7" s="148"/>
      <c r="T7" s="148"/>
      <c r="U7" s="148"/>
      <c r="V7" s="148"/>
      <c r="W7" s="148"/>
      <c r="X7" s="66" t="b">
        <v>0</v>
      </c>
    </row>
    <row r="8" spans="2:24" x14ac:dyDescent="0.25">
      <c r="B8" s="6"/>
      <c r="C8" s="7"/>
      <c r="D8" s="7"/>
      <c r="E8" s="7"/>
      <c r="F8" s="7"/>
      <c r="G8" s="7"/>
      <c r="H8" s="7"/>
      <c r="I8" s="7"/>
      <c r="J8" s="8"/>
      <c r="L8" s="158"/>
      <c r="M8" s="159"/>
      <c r="N8" s="159"/>
      <c r="O8" s="160"/>
      <c r="Q8" s="148" t="s">
        <v>158</v>
      </c>
      <c r="R8" s="148"/>
      <c r="S8" s="148"/>
      <c r="T8" s="148"/>
      <c r="U8" s="148"/>
      <c r="V8" s="148"/>
      <c r="W8" s="148"/>
    </row>
    <row r="9" spans="2:24" x14ac:dyDescent="0.25">
      <c r="B9" s="6"/>
      <c r="C9" s="7"/>
      <c r="D9" s="7"/>
      <c r="E9" s="7"/>
      <c r="F9" s="7"/>
      <c r="G9" s="7"/>
      <c r="H9" s="7"/>
      <c r="I9" s="7"/>
      <c r="J9" s="8"/>
      <c r="L9" s="158"/>
      <c r="M9" s="159"/>
      <c r="N9" s="159"/>
      <c r="O9" s="160"/>
      <c r="Q9" s="148" t="s">
        <v>73</v>
      </c>
      <c r="R9" s="148"/>
      <c r="S9" s="148"/>
      <c r="T9" s="148"/>
      <c r="U9" s="148"/>
      <c r="V9" s="148"/>
      <c r="W9" s="148"/>
    </row>
    <row r="10" spans="2:24" ht="15" customHeight="1" x14ac:dyDescent="0.25">
      <c r="B10" s="9"/>
      <c r="C10" s="10"/>
      <c r="D10" s="10"/>
      <c r="E10" s="10"/>
      <c r="F10" s="10"/>
      <c r="G10" s="10"/>
      <c r="H10" s="10"/>
      <c r="I10" s="10"/>
      <c r="J10" s="11"/>
      <c r="L10" s="161"/>
      <c r="M10" s="162"/>
      <c r="N10" s="162"/>
      <c r="O10" s="163"/>
      <c r="Q10" s="257" t="s">
        <v>184</v>
      </c>
      <c r="R10" s="257"/>
      <c r="S10" s="257"/>
      <c r="T10" s="257"/>
      <c r="U10" s="257"/>
      <c r="V10" s="257"/>
      <c r="W10" s="257"/>
    </row>
    <row r="11" spans="2:24" x14ac:dyDescent="0.25">
      <c r="Q11" s="257"/>
      <c r="R11" s="257"/>
      <c r="S11" s="257"/>
      <c r="T11" s="257"/>
      <c r="U11" s="257"/>
      <c r="V11" s="257"/>
      <c r="W11" s="257"/>
    </row>
    <row r="12" spans="2:24" ht="15.75" x14ac:dyDescent="0.25">
      <c r="B12" s="125" t="s">
        <v>259</v>
      </c>
      <c r="C12" s="125"/>
      <c r="E12" s="125" t="s">
        <v>43</v>
      </c>
      <c r="F12" s="125"/>
      <c r="G12" s="125" t="s">
        <v>78</v>
      </c>
      <c r="H12" s="125"/>
      <c r="Q12" s="257"/>
      <c r="R12" s="257"/>
      <c r="S12" s="257"/>
      <c r="T12" s="257"/>
      <c r="U12" s="257"/>
      <c r="V12" s="257"/>
      <c r="W12" s="257"/>
    </row>
    <row r="13" spans="2:24" x14ac:dyDescent="0.25">
      <c r="B13" s="273" t="s">
        <v>260</v>
      </c>
      <c r="C13" s="273" t="s">
        <v>261</v>
      </c>
      <c r="E13" s="288">
        <f>SUM(B24:C24)</f>
        <v>0</v>
      </c>
      <c r="F13" s="288"/>
      <c r="G13" s="131">
        <f>Kezdőlap!E41</f>
        <v>7300</v>
      </c>
      <c r="H13" s="131"/>
      <c r="Q13" s="148" t="str">
        <f>IF(X6=TRUE,"2 db színes igazolványkép","")</f>
        <v/>
      </c>
      <c r="R13" s="148"/>
      <c r="S13" s="148"/>
      <c r="T13" s="148"/>
      <c r="U13" s="148"/>
      <c r="V13" s="148"/>
      <c r="W13" s="148"/>
    </row>
    <row r="14" spans="2:24" x14ac:dyDescent="0.25">
      <c r="B14" s="273"/>
      <c r="C14" s="273"/>
      <c r="E14" s="288"/>
      <c r="F14" s="288"/>
      <c r="G14" s="131"/>
      <c r="H14" s="131"/>
      <c r="Q14" s="148" t="s">
        <v>57</v>
      </c>
      <c r="R14" s="148"/>
      <c r="S14" s="148"/>
      <c r="T14" s="148"/>
      <c r="U14" s="148"/>
      <c r="V14" s="148"/>
      <c r="W14" s="148"/>
    </row>
    <row r="15" spans="2:24" x14ac:dyDescent="0.25">
      <c r="B15" s="273"/>
      <c r="C15" s="273"/>
      <c r="E15" s="288"/>
      <c r="F15" s="288"/>
      <c r="G15" s="131"/>
      <c r="H15" s="131"/>
      <c r="Q15" s="365" t="str">
        <f>IF(X6=TRUE,"Képzési és vizsgaigazolás benyújtása","")</f>
        <v/>
      </c>
      <c r="R15" s="366"/>
      <c r="S15" s="366"/>
      <c r="T15" s="366"/>
      <c r="U15" s="366"/>
      <c r="V15" s="366"/>
      <c r="W15" s="367"/>
    </row>
    <row r="16" spans="2:24" x14ac:dyDescent="0.25">
      <c r="B16" s="273"/>
      <c r="C16" s="273"/>
      <c r="E16" s="288"/>
      <c r="F16" s="288"/>
      <c r="G16" s="131"/>
      <c r="H16" s="131"/>
    </row>
    <row r="17" spans="2:23" ht="15.75" x14ac:dyDescent="0.25">
      <c r="B17" s="273"/>
      <c r="C17" s="273"/>
      <c r="E17" s="288"/>
      <c r="F17" s="288"/>
      <c r="G17" s="131"/>
      <c r="H17" s="131"/>
      <c r="Q17" s="359" t="s">
        <v>247</v>
      </c>
      <c r="R17" s="360"/>
      <c r="S17" s="360"/>
      <c r="T17" s="360"/>
      <c r="U17" s="360"/>
      <c r="V17" s="360"/>
      <c r="W17" s="361"/>
    </row>
    <row r="18" spans="2:23" x14ac:dyDescent="0.25">
      <c r="B18" s="273"/>
      <c r="C18" s="273"/>
      <c r="E18" s="288"/>
      <c r="F18" s="288"/>
      <c r="G18" s="131"/>
      <c r="H18" s="131"/>
      <c r="Q18" s="257" t="str">
        <f>IF(X6=TRUE,"","A gyakorlati vizsgatárgy vizsgája a sikeres tesztvizsgát követően kezdhető meg.")</f>
        <v>A gyakorlati vizsgatárgy vizsgája a sikeres tesztvizsgát követően kezdhető meg.</v>
      </c>
      <c r="R18" s="257"/>
      <c r="S18" s="257"/>
      <c r="T18" s="257"/>
      <c r="U18" s="257"/>
      <c r="V18" s="257"/>
      <c r="W18" s="257"/>
    </row>
    <row r="19" spans="2:23" x14ac:dyDescent="0.25">
      <c r="B19" s="273"/>
      <c r="C19" s="273"/>
      <c r="E19" s="288"/>
      <c r="F19" s="288"/>
      <c r="G19" s="131"/>
      <c r="H19" s="131"/>
      <c r="Q19" s="257"/>
      <c r="R19" s="257"/>
      <c r="S19" s="257"/>
      <c r="T19" s="257"/>
      <c r="U19" s="257"/>
      <c r="V19" s="257"/>
      <c r="W19" s="257"/>
    </row>
    <row r="20" spans="2:23" x14ac:dyDescent="0.25">
      <c r="B20" s="273"/>
      <c r="C20" s="273"/>
      <c r="E20" s="288"/>
      <c r="F20" s="288"/>
      <c r="G20" s="131"/>
      <c r="H20" s="131"/>
      <c r="Q20" s="257" t="s">
        <v>262</v>
      </c>
      <c r="R20" s="257"/>
      <c r="S20" s="257"/>
      <c r="T20" s="257"/>
      <c r="U20" s="257"/>
      <c r="V20" s="257"/>
      <c r="W20" s="257"/>
    </row>
    <row r="21" spans="2:23" x14ac:dyDescent="0.25">
      <c r="B21" s="273"/>
      <c r="C21" s="273"/>
      <c r="Q21" s="257"/>
      <c r="R21" s="257"/>
      <c r="S21" s="257"/>
      <c r="T21" s="257"/>
      <c r="U21" s="257"/>
      <c r="V21" s="257"/>
      <c r="W21" s="257"/>
    </row>
    <row r="22" spans="2:23" x14ac:dyDescent="0.25">
      <c r="B22" s="273"/>
      <c r="C22" s="273"/>
      <c r="Q22" s="257"/>
      <c r="R22" s="257"/>
      <c r="S22" s="257"/>
      <c r="T22" s="257"/>
      <c r="U22" s="257"/>
      <c r="V22" s="257"/>
      <c r="W22" s="257"/>
    </row>
    <row r="23" spans="2:23" ht="15.75" customHeight="1" x14ac:dyDescent="0.25">
      <c r="B23" s="43" t="str">
        <f>IF(X6=TRUE,"Felmentés","Vizsga")</f>
        <v>Vizsga</v>
      </c>
      <c r="C23" s="43" t="str">
        <f>IF(X6=TRUE,"Felmentés","Vizsga")</f>
        <v>Vizsga</v>
      </c>
      <c r="Q23" s="257"/>
      <c r="R23" s="257"/>
      <c r="S23" s="257"/>
      <c r="T23" s="257"/>
      <c r="U23" s="257"/>
      <c r="V23" s="257"/>
      <c r="W23" s="257"/>
    </row>
    <row r="24" spans="2:23" ht="15.75" x14ac:dyDescent="0.25">
      <c r="B24" s="39" t="str">
        <f>IF(OR(X6)=TRUE,0,IF(OR(X7)=TRUE,Kezdőlap!E36,"-"))</f>
        <v>-</v>
      </c>
      <c r="C24" s="39" t="str">
        <f>IF(OR(X6)=TRUE,0,IF(OR(X7)=TRUE,Kezdőlap!E40,"-"))</f>
        <v>-</v>
      </c>
      <c r="Q24" s="155" t="str">
        <f>IF(X7=FALSE,"","A gyakorlati és elméleti vizsga megtartásához szükséges feltételeket a vizsgázónak kell biztosítania. Ide értendő a vizsga helyszínének biztosítása, és a gyakorlati vizsgához szükséges kellékek " &amp; "(Pl.: mentőgyűrű, szolgálati csónak, mentőmellény, hordágy, elsősegélykészlet, stb...). " &amp; "12/2022. (IV. 14.) ITM rendelethez A SZEMÉLYHAJÓZÁSI SZAKÉRTŐI KÉPESÍTÉS MEGSZERZÉSÉHEZ SZÜKSÉGES KOMPETENCIÁKRA ÉS VIZSGÁRA VONATKOZÓ KÖVETELMÉNYEK")</f>
        <v/>
      </c>
      <c r="R24" s="156"/>
      <c r="S24" s="156"/>
      <c r="T24" s="156"/>
      <c r="U24" s="156"/>
      <c r="V24" s="156"/>
      <c r="W24" s="157"/>
    </row>
    <row r="25" spans="2:23" x14ac:dyDescent="0.25">
      <c r="Q25" s="158"/>
      <c r="R25" s="159"/>
      <c r="S25" s="159"/>
      <c r="T25" s="159"/>
      <c r="U25" s="159"/>
      <c r="V25" s="159"/>
      <c r="W25" s="160"/>
    </row>
    <row r="26" spans="2:23" x14ac:dyDescent="0.25">
      <c r="Q26" s="158"/>
      <c r="R26" s="159"/>
      <c r="S26" s="159"/>
      <c r="T26" s="159"/>
      <c r="U26" s="159"/>
      <c r="V26" s="159"/>
      <c r="W26" s="160"/>
    </row>
    <row r="27" spans="2:23" x14ac:dyDescent="0.25">
      <c r="Q27" s="158"/>
      <c r="R27" s="159"/>
      <c r="S27" s="159"/>
      <c r="T27" s="159"/>
      <c r="U27" s="159"/>
      <c r="V27" s="159"/>
      <c r="W27" s="160"/>
    </row>
    <row r="28" spans="2:23" x14ac:dyDescent="0.25">
      <c r="Q28" s="158"/>
      <c r="R28" s="159"/>
      <c r="S28" s="159"/>
      <c r="T28" s="159"/>
      <c r="U28" s="159"/>
      <c r="V28" s="159"/>
      <c r="W28" s="160"/>
    </row>
    <row r="29" spans="2:23" x14ac:dyDescent="0.25">
      <c r="Q29" s="158"/>
      <c r="R29" s="159"/>
      <c r="S29" s="159"/>
      <c r="T29" s="159"/>
      <c r="U29" s="159"/>
      <c r="V29" s="159"/>
      <c r="W29" s="160"/>
    </row>
    <row r="30" spans="2:23" x14ac:dyDescent="0.25">
      <c r="Q30" s="158"/>
      <c r="R30" s="159"/>
      <c r="S30" s="159"/>
      <c r="T30" s="159"/>
      <c r="U30" s="159"/>
      <c r="V30" s="159"/>
      <c r="W30" s="160"/>
    </row>
    <row r="31" spans="2:23" x14ac:dyDescent="0.25">
      <c r="Q31" s="161"/>
      <c r="R31" s="162"/>
      <c r="S31" s="162"/>
      <c r="T31" s="162"/>
      <c r="U31" s="162"/>
      <c r="V31" s="162"/>
      <c r="W31" s="163"/>
    </row>
  </sheetData>
  <sheetProtection sheet="1" objects="1" scenarios="1" selectLockedCells="1"/>
  <mergeCells count="24">
    <mergeCell ref="Q24:W31"/>
    <mergeCell ref="Q10:W12"/>
    <mergeCell ref="Q13:W13"/>
    <mergeCell ref="Q14:W14"/>
    <mergeCell ref="B12:C12"/>
    <mergeCell ref="B13:B22"/>
    <mergeCell ref="C13:C22"/>
    <mergeCell ref="E12:F12"/>
    <mergeCell ref="G12:H12"/>
    <mergeCell ref="E13:F20"/>
    <mergeCell ref="G13:H20"/>
    <mergeCell ref="Q17:W17"/>
    <mergeCell ref="Q18:W19"/>
    <mergeCell ref="Q20:W23"/>
    <mergeCell ref="Q15:W15"/>
    <mergeCell ref="B4:J5"/>
    <mergeCell ref="B6:J6"/>
    <mergeCell ref="L4:O5"/>
    <mergeCell ref="L6:O10"/>
    <mergeCell ref="Q4:W5"/>
    <mergeCell ref="Q6:W6"/>
    <mergeCell ref="Q7:W7"/>
    <mergeCell ref="Q8:W8"/>
    <mergeCell ref="Q9:W9"/>
  </mergeCells>
  <conditionalFormatting sqref="B23:C23">
    <cfRule type="containsText" dxfId="34" priority="1" operator="containsText" text="Vizsga">
      <formula>NOT(ISERROR(SEARCH("Vizsga",B23)))</formula>
    </cfRule>
  </conditionalFormatting>
  <pageMargins left="0.7" right="0.7" top="0.75" bottom="0.75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52225" r:id="rId4" name="Check Box 1">
              <controlPr defaultSize="0" autoFill="0" autoLine="0" autoPict="0">
                <anchor moveWithCells="1">
                  <from>
                    <xdr:col>1</xdr:col>
                    <xdr:colOff>28575</xdr:colOff>
                    <xdr:row>6</xdr:row>
                    <xdr:rowOff>57150</xdr:rowOff>
                  </from>
                  <to>
                    <xdr:col>6</xdr:col>
                    <xdr:colOff>533400</xdr:colOff>
                    <xdr:row>7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226" r:id="rId5" name="Check Box 2">
              <controlPr defaultSize="0" autoFill="0" autoLine="0" autoPict="0">
                <anchor moveWithCells="1">
                  <from>
                    <xdr:col>1</xdr:col>
                    <xdr:colOff>28575</xdr:colOff>
                    <xdr:row>7</xdr:row>
                    <xdr:rowOff>180975</xdr:rowOff>
                  </from>
                  <to>
                    <xdr:col>4</xdr:col>
                    <xdr:colOff>209550</xdr:colOff>
                    <xdr:row>9</xdr:row>
                    <xdr:rowOff>66675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AD5A51-920F-4AA5-8563-42FF4E3A0C92}">
  <sheetPr codeName="Munka33"/>
  <dimension ref="B2:M33"/>
  <sheetViews>
    <sheetView showGridLines="0" showRowColHeaders="0" workbookViewId="0">
      <selection activeCell="P25" sqref="P25"/>
    </sheetView>
  </sheetViews>
  <sheetFormatPr defaultRowHeight="15" x14ac:dyDescent="0.25"/>
  <sheetData>
    <row r="2" spans="2:13" x14ac:dyDescent="0.25">
      <c r="H2" s="47"/>
    </row>
    <row r="4" spans="2:13" x14ac:dyDescent="0.25">
      <c r="B4" s="132" t="s">
        <v>256</v>
      </c>
      <c r="C4" s="132"/>
      <c r="D4" s="132"/>
      <c r="E4" s="132"/>
      <c r="F4" s="132"/>
      <c r="G4" s="132"/>
      <c r="H4" s="132"/>
      <c r="I4" s="132"/>
      <c r="M4" s="47">
        <v>1</v>
      </c>
    </row>
    <row r="5" spans="2:13" x14ac:dyDescent="0.25">
      <c r="B5" s="132"/>
      <c r="C5" s="132"/>
      <c r="D5" s="132"/>
      <c r="E5" s="132"/>
      <c r="F5" s="132"/>
      <c r="G5" s="132"/>
      <c r="H5" s="132"/>
      <c r="I5" s="132"/>
    </row>
    <row r="6" spans="2:13" ht="15" customHeight="1" x14ac:dyDescent="0.25">
      <c r="B6" s="369" t="s">
        <v>257</v>
      </c>
      <c r="C6" s="369"/>
      <c r="D6" s="369"/>
      <c r="E6" s="369"/>
      <c r="F6" s="369"/>
      <c r="G6" s="369"/>
      <c r="H6" s="369"/>
      <c r="I6" s="369"/>
    </row>
    <row r="7" spans="2:13" x14ac:dyDescent="0.25">
      <c r="B7" s="369"/>
      <c r="C7" s="369"/>
      <c r="D7" s="369"/>
      <c r="E7" s="369"/>
      <c r="F7" s="369"/>
      <c r="G7" s="369"/>
      <c r="H7" s="369"/>
      <c r="I7" s="369"/>
    </row>
    <row r="8" spans="2:13" x14ac:dyDescent="0.25">
      <c r="B8" s="369"/>
      <c r="C8" s="369"/>
      <c r="D8" s="369"/>
      <c r="E8" s="369"/>
      <c r="F8" s="369"/>
      <c r="G8" s="369"/>
      <c r="H8" s="369"/>
      <c r="I8" s="369"/>
    </row>
    <row r="10" spans="2:13" x14ac:dyDescent="0.25">
      <c r="B10" s="368">
        <f t="shared" ref="B10:B32" si="0">$M$4</f>
        <v>1</v>
      </c>
      <c r="C10" s="368"/>
      <c r="D10" s="368"/>
      <c r="E10" s="368"/>
      <c r="F10" s="368"/>
      <c r="H10" s="368">
        <f t="shared" ref="H10:H15" si="1">$M$4</f>
        <v>1</v>
      </c>
      <c r="I10" s="368"/>
      <c r="J10" s="368"/>
      <c r="K10" s="368"/>
    </row>
    <row r="11" spans="2:13" x14ac:dyDescent="0.25">
      <c r="B11" s="368">
        <f t="shared" si="0"/>
        <v>1</v>
      </c>
      <c r="C11" s="368"/>
      <c r="D11" s="368"/>
      <c r="E11" s="368"/>
      <c r="F11" s="368"/>
      <c r="H11" s="368">
        <f t="shared" si="1"/>
        <v>1</v>
      </c>
      <c r="I11" s="368"/>
      <c r="J11" s="368"/>
      <c r="K11" s="368"/>
    </row>
    <row r="12" spans="2:13" x14ac:dyDescent="0.25">
      <c r="B12" s="368">
        <f t="shared" si="0"/>
        <v>1</v>
      </c>
      <c r="C12" s="368"/>
      <c r="D12" s="368"/>
      <c r="E12" s="368"/>
      <c r="F12" s="368"/>
      <c r="H12" s="368">
        <f t="shared" si="1"/>
        <v>1</v>
      </c>
      <c r="I12" s="368"/>
      <c r="J12" s="368"/>
      <c r="K12" s="368"/>
    </row>
    <row r="13" spans="2:13" x14ac:dyDescent="0.25">
      <c r="B13" s="368">
        <f t="shared" si="0"/>
        <v>1</v>
      </c>
      <c r="C13" s="368"/>
      <c r="D13" s="368"/>
      <c r="E13" s="368"/>
      <c r="F13" s="368"/>
      <c r="H13" s="368">
        <f t="shared" si="1"/>
        <v>1</v>
      </c>
      <c r="I13" s="368"/>
      <c r="J13" s="368"/>
      <c r="K13" s="368"/>
    </row>
    <row r="14" spans="2:13" x14ac:dyDescent="0.25">
      <c r="B14" s="368">
        <f t="shared" si="0"/>
        <v>1</v>
      </c>
      <c r="C14" s="368"/>
      <c r="D14" s="368"/>
      <c r="E14" s="368"/>
      <c r="F14" s="368"/>
      <c r="H14" s="368">
        <f t="shared" si="1"/>
        <v>1</v>
      </c>
      <c r="I14" s="368"/>
      <c r="J14" s="368"/>
      <c r="K14" s="368"/>
    </row>
    <row r="15" spans="2:13" x14ac:dyDescent="0.25">
      <c r="B15" s="368">
        <f t="shared" si="0"/>
        <v>1</v>
      </c>
      <c r="C15" s="368"/>
      <c r="D15" s="368"/>
      <c r="E15" s="368"/>
      <c r="F15" s="368"/>
      <c r="H15" s="368">
        <f t="shared" si="1"/>
        <v>1</v>
      </c>
      <c r="I15" s="368"/>
      <c r="J15" s="368"/>
      <c r="K15" s="368"/>
    </row>
    <row r="16" spans="2:13" x14ac:dyDescent="0.25">
      <c r="B16" s="368">
        <f t="shared" si="0"/>
        <v>1</v>
      </c>
      <c r="C16" s="368"/>
      <c r="D16" s="368"/>
      <c r="E16" s="368"/>
      <c r="F16" s="368"/>
    </row>
    <row r="17" spans="2:6" x14ac:dyDescent="0.25">
      <c r="B17" s="368">
        <f t="shared" si="0"/>
        <v>1</v>
      </c>
      <c r="C17" s="368"/>
      <c r="D17" s="368"/>
      <c r="E17" s="368"/>
      <c r="F17" s="368"/>
    </row>
    <row r="18" spans="2:6" x14ac:dyDescent="0.25">
      <c r="B18" s="368">
        <f t="shared" si="0"/>
        <v>1</v>
      </c>
      <c r="C18" s="368"/>
      <c r="D18" s="368"/>
      <c r="E18" s="368"/>
      <c r="F18" s="368"/>
    </row>
    <row r="19" spans="2:6" x14ac:dyDescent="0.25">
      <c r="B19" s="368">
        <f t="shared" si="0"/>
        <v>1</v>
      </c>
      <c r="C19" s="368"/>
      <c r="D19" s="368"/>
      <c r="E19" s="368"/>
      <c r="F19" s="368"/>
    </row>
    <row r="20" spans="2:6" x14ac:dyDescent="0.25">
      <c r="B20" s="368">
        <f t="shared" si="0"/>
        <v>1</v>
      </c>
      <c r="C20" s="368"/>
      <c r="D20" s="368"/>
      <c r="E20" s="368"/>
      <c r="F20" s="368"/>
    </row>
    <row r="21" spans="2:6" x14ac:dyDescent="0.25">
      <c r="B21" s="368">
        <f t="shared" si="0"/>
        <v>1</v>
      </c>
      <c r="C21" s="368"/>
      <c r="D21" s="368"/>
      <c r="E21" s="368"/>
      <c r="F21" s="368"/>
    </row>
    <row r="22" spans="2:6" x14ac:dyDescent="0.25">
      <c r="B22" s="368">
        <f t="shared" si="0"/>
        <v>1</v>
      </c>
      <c r="C22" s="368"/>
      <c r="D22" s="368"/>
      <c r="E22" s="368"/>
      <c r="F22" s="368"/>
    </row>
    <row r="23" spans="2:6" x14ac:dyDescent="0.25">
      <c r="B23" s="368">
        <f t="shared" si="0"/>
        <v>1</v>
      </c>
      <c r="C23" s="368"/>
      <c r="D23" s="368"/>
      <c r="E23" s="368"/>
      <c r="F23" s="368"/>
    </row>
    <row r="24" spans="2:6" x14ac:dyDescent="0.25">
      <c r="B24" s="368">
        <f t="shared" si="0"/>
        <v>1</v>
      </c>
      <c r="C24" s="368"/>
      <c r="D24" s="368"/>
      <c r="E24" s="368"/>
      <c r="F24" s="368"/>
    </row>
    <row r="25" spans="2:6" x14ac:dyDescent="0.25">
      <c r="B25" s="368">
        <f t="shared" si="0"/>
        <v>1</v>
      </c>
      <c r="C25" s="368"/>
      <c r="D25" s="368"/>
      <c r="E25" s="368"/>
      <c r="F25" s="368"/>
    </row>
    <row r="26" spans="2:6" x14ac:dyDescent="0.25">
      <c r="B26" s="368">
        <f t="shared" si="0"/>
        <v>1</v>
      </c>
      <c r="C26" s="368"/>
      <c r="D26" s="368"/>
      <c r="E26" s="368"/>
      <c r="F26" s="368"/>
    </row>
    <row r="27" spans="2:6" x14ac:dyDescent="0.25">
      <c r="B27" s="368">
        <f t="shared" si="0"/>
        <v>1</v>
      </c>
      <c r="C27" s="368"/>
      <c r="D27" s="368"/>
      <c r="E27" s="368"/>
      <c r="F27" s="368"/>
    </row>
    <row r="28" spans="2:6" x14ac:dyDescent="0.25">
      <c r="B28" s="368">
        <f t="shared" si="0"/>
        <v>1</v>
      </c>
      <c r="C28" s="368"/>
      <c r="D28" s="368"/>
      <c r="E28" s="368"/>
      <c r="F28" s="368"/>
    </row>
    <row r="29" spans="2:6" x14ac:dyDescent="0.25">
      <c r="B29" s="368">
        <f t="shared" si="0"/>
        <v>1</v>
      </c>
      <c r="C29" s="368"/>
      <c r="D29" s="368"/>
      <c r="E29" s="368"/>
      <c r="F29" s="368"/>
    </row>
    <row r="30" spans="2:6" x14ac:dyDescent="0.25">
      <c r="B30" s="368">
        <f t="shared" si="0"/>
        <v>1</v>
      </c>
      <c r="C30" s="368"/>
      <c r="D30" s="368"/>
      <c r="E30" s="368"/>
      <c r="F30" s="368"/>
    </row>
    <row r="31" spans="2:6" x14ac:dyDescent="0.25">
      <c r="B31" s="368">
        <f t="shared" si="0"/>
        <v>1</v>
      </c>
      <c r="C31" s="368"/>
      <c r="D31" s="368"/>
      <c r="E31" s="368"/>
      <c r="F31" s="368"/>
    </row>
    <row r="32" spans="2:6" x14ac:dyDescent="0.25">
      <c r="B32" s="368">
        <f t="shared" si="0"/>
        <v>1</v>
      </c>
      <c r="C32" s="368"/>
      <c r="D32" s="368"/>
      <c r="E32" s="368"/>
      <c r="F32" s="368"/>
    </row>
    <row r="33" spans="2:6" x14ac:dyDescent="0.25">
      <c r="B33" s="368">
        <f>$M$4</f>
        <v>1</v>
      </c>
      <c r="C33" s="368"/>
      <c r="D33" s="368"/>
      <c r="E33" s="368"/>
      <c r="F33" s="368"/>
    </row>
  </sheetData>
  <mergeCells count="32">
    <mergeCell ref="B14:F14"/>
    <mergeCell ref="B30:F30"/>
    <mergeCell ref="B31:F31"/>
    <mergeCell ref="B32:F32"/>
    <mergeCell ref="B29:F29"/>
    <mergeCell ref="B25:F25"/>
    <mergeCell ref="B26:F26"/>
    <mergeCell ref="B27:F27"/>
    <mergeCell ref="B28:F28"/>
    <mergeCell ref="B23:F23"/>
    <mergeCell ref="B24:F24"/>
    <mergeCell ref="H10:K10"/>
    <mergeCell ref="H11:K11"/>
    <mergeCell ref="H12:K12"/>
    <mergeCell ref="H13:K13"/>
    <mergeCell ref="H14:K14"/>
    <mergeCell ref="B33:F33"/>
    <mergeCell ref="B20:F20"/>
    <mergeCell ref="B21:F21"/>
    <mergeCell ref="B22:F22"/>
    <mergeCell ref="B4:I5"/>
    <mergeCell ref="B6:I8"/>
    <mergeCell ref="B15:F15"/>
    <mergeCell ref="B16:F16"/>
    <mergeCell ref="B17:F17"/>
    <mergeCell ref="B18:F18"/>
    <mergeCell ref="B19:F19"/>
    <mergeCell ref="B10:F10"/>
    <mergeCell ref="B11:F11"/>
    <mergeCell ref="B12:F12"/>
    <mergeCell ref="B13:F13"/>
    <mergeCell ref="H15:K15"/>
  </mergeCells>
  <conditionalFormatting sqref="B10">
    <cfRule type="cellIs" dxfId="33" priority="36" operator="equal">
      <formula>1</formula>
    </cfRule>
  </conditionalFormatting>
  <conditionalFormatting sqref="B11">
    <cfRule type="cellIs" dxfId="32" priority="35" operator="between">
      <formula>1</formula>
      <formula>2</formula>
    </cfRule>
  </conditionalFormatting>
  <conditionalFormatting sqref="B12">
    <cfRule type="cellIs" dxfId="31" priority="34" operator="between">
      <formula>1</formula>
      <formula>3</formula>
    </cfRule>
  </conditionalFormatting>
  <conditionalFormatting sqref="B13">
    <cfRule type="cellIs" dxfId="30" priority="33" operator="between">
      <formula>1</formula>
      <formula>4</formula>
    </cfRule>
  </conditionalFormatting>
  <conditionalFormatting sqref="B15">
    <cfRule type="cellIs" dxfId="29" priority="29" operator="between">
      <formula>5</formula>
      <formula>6</formula>
    </cfRule>
  </conditionalFormatting>
  <conditionalFormatting sqref="B16">
    <cfRule type="cellIs" dxfId="28" priority="28" operator="between">
      <formula>1</formula>
      <formula>7</formula>
    </cfRule>
  </conditionalFormatting>
  <conditionalFormatting sqref="B17">
    <cfRule type="cellIs" dxfId="27" priority="27" operator="between">
      <formula>1</formula>
      <formula>8</formula>
    </cfRule>
  </conditionalFormatting>
  <conditionalFormatting sqref="B19">
    <cfRule type="cellIs" dxfId="26" priority="25" operator="equal">
      <formula>10</formula>
    </cfRule>
  </conditionalFormatting>
  <conditionalFormatting sqref="B20">
    <cfRule type="cellIs" dxfId="25" priority="24" operator="equal">
      <formula>11</formula>
    </cfRule>
  </conditionalFormatting>
  <conditionalFormatting sqref="B24">
    <cfRule type="cellIs" dxfId="24" priority="19" operator="between">
      <formula>9</formula>
      <formula>15</formula>
    </cfRule>
  </conditionalFormatting>
  <conditionalFormatting sqref="B25">
    <cfRule type="cellIs" dxfId="23" priority="18" operator="equal">
      <formula>16</formula>
    </cfRule>
  </conditionalFormatting>
  <conditionalFormatting sqref="B26">
    <cfRule type="cellIs" dxfId="22" priority="15" operator="equal">
      <formula>17</formula>
    </cfRule>
  </conditionalFormatting>
  <conditionalFormatting sqref="B27">
    <cfRule type="cellIs" dxfId="21" priority="14" operator="between">
      <formula>9</formula>
      <formula>18</formula>
    </cfRule>
  </conditionalFormatting>
  <conditionalFormatting sqref="B28">
    <cfRule type="cellIs" dxfId="20" priority="13" operator="between">
      <formula>9</formula>
      <formula>19</formula>
    </cfRule>
  </conditionalFormatting>
  <conditionalFormatting sqref="B29">
    <cfRule type="cellIs" dxfId="19" priority="12" operator="between">
      <formula>9</formula>
      <formula>20</formula>
    </cfRule>
  </conditionalFormatting>
  <conditionalFormatting sqref="B30">
    <cfRule type="cellIs" dxfId="18" priority="10" operator="between">
      <formula>22</formula>
      <formula>23</formula>
    </cfRule>
    <cfRule type="cellIs" dxfId="17" priority="11" operator="between">
      <formula>9</formula>
      <formula>21</formula>
    </cfRule>
  </conditionalFormatting>
  <conditionalFormatting sqref="B31">
    <cfRule type="cellIs" dxfId="16" priority="9" operator="equal">
      <formula>22</formula>
    </cfRule>
  </conditionalFormatting>
  <conditionalFormatting sqref="B32">
    <cfRule type="cellIs" dxfId="15" priority="8" operator="between">
      <formula>22</formula>
      <formula>23</formula>
    </cfRule>
  </conditionalFormatting>
  <conditionalFormatting sqref="B14:F14">
    <cfRule type="cellIs" dxfId="14" priority="7" operator="equal">
      <formula>5</formula>
    </cfRule>
  </conditionalFormatting>
  <conditionalFormatting sqref="B14:F15">
    <cfRule type="cellIs" dxfId="13" priority="30" operator="between">
      <formula>1</formula>
      <formula>3</formula>
    </cfRule>
  </conditionalFormatting>
  <conditionalFormatting sqref="B18:F23">
    <cfRule type="cellIs" dxfId="12" priority="26" operator="between">
      <formula>1</formula>
      <formula>3</formula>
    </cfRule>
  </conditionalFormatting>
  <conditionalFormatting sqref="B21:F21">
    <cfRule type="cellIs" dxfId="11" priority="23" operator="equal">
      <formula>12</formula>
    </cfRule>
  </conditionalFormatting>
  <conditionalFormatting sqref="B22:F22">
    <cfRule type="cellIs" dxfId="10" priority="22" operator="equal">
      <formula>13</formula>
    </cfRule>
  </conditionalFormatting>
  <conditionalFormatting sqref="B23:F23">
    <cfRule type="cellIs" dxfId="9" priority="21" operator="equal">
      <formula>14</formula>
    </cfRule>
  </conditionalFormatting>
  <conditionalFormatting sqref="B24:F30">
    <cfRule type="cellIs" dxfId="8" priority="20" operator="between">
      <formula>1</formula>
      <formula>7</formula>
    </cfRule>
  </conditionalFormatting>
  <conditionalFormatting sqref="B25:F26">
    <cfRule type="cellIs" dxfId="7" priority="17" operator="between">
      <formula>9</formula>
      <formula>16</formula>
    </cfRule>
  </conditionalFormatting>
  <conditionalFormatting sqref="B26:F29">
    <cfRule type="cellIs" dxfId="6" priority="16" operator="between">
      <formula>22</formula>
      <formula>23</formula>
    </cfRule>
  </conditionalFormatting>
  <conditionalFormatting sqref="H11">
    <cfRule type="cellIs" dxfId="5" priority="5" operator="between">
      <formula>24</formula>
      <formula>25</formula>
    </cfRule>
  </conditionalFormatting>
  <conditionalFormatting sqref="H10:K10">
    <cfRule type="cellIs" dxfId="4" priority="6" operator="equal">
      <formula>24</formula>
    </cfRule>
  </conditionalFormatting>
  <conditionalFormatting sqref="H12:K12">
    <cfRule type="cellIs" dxfId="3" priority="4" operator="between">
      <formula>24</formula>
      <formula>26</formula>
    </cfRule>
  </conditionalFormatting>
  <conditionalFormatting sqref="H13:K13">
    <cfRule type="cellIs" dxfId="2" priority="3" operator="between">
      <formula>24</formula>
      <formula>27</formula>
    </cfRule>
  </conditionalFormatting>
  <conditionalFormatting sqref="H14:K14">
    <cfRule type="cellIs" dxfId="1" priority="2" operator="between">
      <formula>24</formula>
      <formula>28</formula>
    </cfRule>
  </conditionalFormatting>
  <conditionalFormatting sqref="H15:K15">
    <cfRule type="cellIs" dxfId="0" priority="1" operator="between">
      <formula>24</formula>
      <formula>29</formula>
    </cfRule>
  </conditionalFormatting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51224" r:id="rId3" name="Option Button 24">
              <controlPr defaultSize="0" autoFill="0" autoLine="0" autoPict="0">
                <anchor moveWithCells="1">
                  <from>
                    <xdr:col>1</xdr:col>
                    <xdr:colOff>9525</xdr:colOff>
                    <xdr:row>9</xdr:row>
                    <xdr:rowOff>0</xdr:rowOff>
                  </from>
                  <to>
                    <xdr:col>3</xdr:col>
                    <xdr:colOff>361950</xdr:colOff>
                    <xdr:row>9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25" r:id="rId4" name="Option Button 25">
              <controlPr defaultSize="0" autoFill="0" autoLine="0" autoPict="0">
                <anchor moveWithCells="1">
                  <from>
                    <xdr:col>1</xdr:col>
                    <xdr:colOff>9525</xdr:colOff>
                    <xdr:row>10</xdr:row>
                    <xdr:rowOff>28575</xdr:rowOff>
                  </from>
                  <to>
                    <xdr:col>3</xdr:col>
                    <xdr:colOff>361950</xdr:colOff>
                    <xdr:row>10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26" r:id="rId5" name="Option Button 26">
              <controlPr defaultSize="0" autoFill="0" autoLine="0" autoPict="0">
                <anchor moveWithCells="1">
                  <from>
                    <xdr:col>1</xdr:col>
                    <xdr:colOff>9525</xdr:colOff>
                    <xdr:row>11</xdr:row>
                    <xdr:rowOff>19050</xdr:rowOff>
                  </from>
                  <to>
                    <xdr:col>3</xdr:col>
                    <xdr:colOff>390525</xdr:colOff>
                    <xdr:row>12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27" r:id="rId6" name="Option Button 27">
              <controlPr defaultSize="0" autoFill="0" autoLine="0" autoPict="0">
                <anchor moveWithCells="1">
                  <from>
                    <xdr:col>1</xdr:col>
                    <xdr:colOff>9525</xdr:colOff>
                    <xdr:row>12</xdr:row>
                    <xdr:rowOff>28575</xdr:rowOff>
                  </from>
                  <to>
                    <xdr:col>3</xdr:col>
                    <xdr:colOff>304800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28" r:id="rId7" name="Option Button 28">
              <controlPr defaultSize="0" autoFill="0" autoLine="0" autoPict="0">
                <anchor moveWithCells="1">
                  <from>
                    <xdr:col>1</xdr:col>
                    <xdr:colOff>9525</xdr:colOff>
                    <xdr:row>13</xdr:row>
                    <xdr:rowOff>19050</xdr:rowOff>
                  </from>
                  <to>
                    <xdr:col>3</xdr:col>
                    <xdr:colOff>485775</xdr:colOff>
                    <xdr:row>14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29" r:id="rId8" name="Option Button 29">
              <controlPr defaultSize="0" autoFill="0" autoLine="0" autoPict="0">
                <anchor moveWithCells="1">
                  <from>
                    <xdr:col>1</xdr:col>
                    <xdr:colOff>9525</xdr:colOff>
                    <xdr:row>14</xdr:row>
                    <xdr:rowOff>19050</xdr:rowOff>
                  </from>
                  <to>
                    <xdr:col>3</xdr:col>
                    <xdr:colOff>371475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30" r:id="rId9" name="Option Button 30">
              <controlPr defaultSize="0" autoFill="0" autoLine="0" autoPict="0">
                <anchor moveWithCells="1">
                  <from>
                    <xdr:col>1</xdr:col>
                    <xdr:colOff>9525</xdr:colOff>
                    <xdr:row>15</xdr:row>
                    <xdr:rowOff>19050</xdr:rowOff>
                  </from>
                  <to>
                    <xdr:col>3</xdr:col>
                    <xdr:colOff>504825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31" r:id="rId10" name="Option Button 31">
              <controlPr defaultSize="0" autoFill="0" autoLine="0" autoPict="0">
                <anchor moveWithCells="1">
                  <from>
                    <xdr:col>1</xdr:col>
                    <xdr:colOff>9525</xdr:colOff>
                    <xdr:row>16</xdr:row>
                    <xdr:rowOff>19050</xdr:rowOff>
                  </from>
                  <to>
                    <xdr:col>3</xdr:col>
                    <xdr:colOff>533400</xdr:colOff>
                    <xdr:row>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32" r:id="rId11" name="Option Button 32">
              <controlPr defaultSize="0" autoFill="0" autoLine="0" autoPict="0">
                <anchor moveWithCells="1">
                  <from>
                    <xdr:col>1</xdr:col>
                    <xdr:colOff>9525</xdr:colOff>
                    <xdr:row>17</xdr:row>
                    <xdr:rowOff>9525</xdr:rowOff>
                  </from>
                  <to>
                    <xdr:col>3</xdr:col>
                    <xdr:colOff>114300</xdr:colOff>
                    <xdr:row>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33" r:id="rId12" name="Option Button 33">
              <controlPr defaultSize="0" autoFill="0" autoLine="0" autoPict="0">
                <anchor moveWithCells="1">
                  <from>
                    <xdr:col>1</xdr:col>
                    <xdr:colOff>9525</xdr:colOff>
                    <xdr:row>18</xdr:row>
                    <xdr:rowOff>19050</xdr:rowOff>
                  </from>
                  <to>
                    <xdr:col>3</xdr:col>
                    <xdr:colOff>57150</xdr:colOff>
                    <xdr:row>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34" r:id="rId13" name="Option Button 34">
              <controlPr defaultSize="0" autoFill="0" autoLine="0" autoPict="0">
                <anchor moveWithCells="1">
                  <from>
                    <xdr:col>1</xdr:col>
                    <xdr:colOff>9525</xdr:colOff>
                    <xdr:row>19</xdr:row>
                    <xdr:rowOff>28575</xdr:rowOff>
                  </from>
                  <to>
                    <xdr:col>3</xdr:col>
                    <xdr:colOff>180975</xdr:colOff>
                    <xdr:row>19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35" r:id="rId14" name="Option Button 35">
              <controlPr defaultSize="0" autoFill="0" autoLine="0" autoPict="0">
                <anchor moveWithCells="1">
                  <from>
                    <xdr:col>1</xdr:col>
                    <xdr:colOff>9525</xdr:colOff>
                    <xdr:row>20</xdr:row>
                    <xdr:rowOff>28575</xdr:rowOff>
                  </from>
                  <to>
                    <xdr:col>2</xdr:col>
                    <xdr:colOff>371475</xdr:colOff>
                    <xdr:row>20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36" r:id="rId15" name="Option Button 36">
              <controlPr defaultSize="0" autoFill="0" autoLine="0" autoPict="0">
                <anchor moveWithCells="1">
                  <from>
                    <xdr:col>1</xdr:col>
                    <xdr:colOff>9525</xdr:colOff>
                    <xdr:row>21</xdr:row>
                    <xdr:rowOff>9525</xdr:rowOff>
                  </from>
                  <to>
                    <xdr:col>2</xdr:col>
                    <xdr:colOff>209550</xdr:colOff>
                    <xdr:row>21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37" r:id="rId16" name="Option Button 37">
              <controlPr defaultSize="0" autoFill="0" autoLine="0" autoPict="0">
                <anchor moveWithCells="1">
                  <from>
                    <xdr:col>1</xdr:col>
                    <xdr:colOff>9525</xdr:colOff>
                    <xdr:row>22</xdr:row>
                    <xdr:rowOff>19050</xdr:rowOff>
                  </from>
                  <to>
                    <xdr:col>6</xdr:col>
                    <xdr:colOff>28575</xdr:colOff>
                    <xdr:row>22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38" r:id="rId17" name="Option Button 38">
              <controlPr defaultSize="0" autoFill="0" autoLine="0" autoPict="0">
                <anchor moveWithCells="1">
                  <from>
                    <xdr:col>1</xdr:col>
                    <xdr:colOff>9525</xdr:colOff>
                    <xdr:row>23</xdr:row>
                    <xdr:rowOff>9525</xdr:rowOff>
                  </from>
                  <to>
                    <xdr:col>2</xdr:col>
                    <xdr:colOff>390525</xdr:colOff>
                    <xdr:row>24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39" r:id="rId18" name="Option Button 39">
              <controlPr defaultSize="0" autoFill="0" autoLine="0" autoPict="0">
                <anchor moveWithCells="1">
                  <from>
                    <xdr:col>1</xdr:col>
                    <xdr:colOff>9525</xdr:colOff>
                    <xdr:row>24</xdr:row>
                    <xdr:rowOff>28575</xdr:rowOff>
                  </from>
                  <to>
                    <xdr:col>3</xdr:col>
                    <xdr:colOff>323850</xdr:colOff>
                    <xdr:row>24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40" r:id="rId19" name="Option Button 40">
              <controlPr defaultSize="0" autoFill="0" autoLine="0" autoPict="0">
                <anchor moveWithCells="1">
                  <from>
                    <xdr:col>1</xdr:col>
                    <xdr:colOff>9525</xdr:colOff>
                    <xdr:row>25</xdr:row>
                    <xdr:rowOff>19050</xdr:rowOff>
                  </from>
                  <to>
                    <xdr:col>3</xdr:col>
                    <xdr:colOff>85725</xdr:colOff>
                    <xdr:row>25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41" r:id="rId20" name="Option Button 41">
              <controlPr defaultSize="0" autoFill="0" autoLine="0" autoPict="0">
                <anchor moveWithCells="1">
                  <from>
                    <xdr:col>1</xdr:col>
                    <xdr:colOff>9525</xdr:colOff>
                    <xdr:row>26</xdr:row>
                    <xdr:rowOff>19050</xdr:rowOff>
                  </from>
                  <to>
                    <xdr:col>2</xdr:col>
                    <xdr:colOff>457200</xdr:colOff>
                    <xdr:row>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42" r:id="rId21" name="Option Button 42">
              <controlPr defaultSize="0" autoFill="0" autoLine="0" autoPict="0">
                <anchor moveWithCells="1">
                  <from>
                    <xdr:col>1</xdr:col>
                    <xdr:colOff>9525</xdr:colOff>
                    <xdr:row>27</xdr:row>
                    <xdr:rowOff>19050</xdr:rowOff>
                  </from>
                  <to>
                    <xdr:col>2</xdr:col>
                    <xdr:colOff>571500</xdr:colOff>
                    <xdr:row>27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43" r:id="rId22" name="Option Button 43">
              <controlPr defaultSize="0" autoFill="0" autoLine="0" autoPict="0">
                <anchor moveWithCells="1">
                  <from>
                    <xdr:col>1</xdr:col>
                    <xdr:colOff>9525</xdr:colOff>
                    <xdr:row>28</xdr:row>
                    <xdr:rowOff>19050</xdr:rowOff>
                  </from>
                  <to>
                    <xdr:col>2</xdr:col>
                    <xdr:colOff>495300</xdr:colOff>
                    <xdr:row>28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44" r:id="rId23" name="Option Button 44">
              <controlPr defaultSize="0" autoFill="0" autoLine="0" autoPict="0">
                <anchor moveWithCells="1">
                  <from>
                    <xdr:col>1</xdr:col>
                    <xdr:colOff>9525</xdr:colOff>
                    <xdr:row>29</xdr:row>
                    <xdr:rowOff>19050</xdr:rowOff>
                  </from>
                  <to>
                    <xdr:col>2</xdr:col>
                    <xdr:colOff>371475</xdr:colOff>
                    <xdr:row>29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45" r:id="rId24" name="Option Button 45">
              <controlPr defaultSize="0" autoFill="0" autoLine="0" autoPict="0">
                <anchor moveWithCells="1">
                  <from>
                    <xdr:col>1</xdr:col>
                    <xdr:colOff>9525</xdr:colOff>
                    <xdr:row>30</xdr:row>
                    <xdr:rowOff>0</xdr:rowOff>
                  </from>
                  <to>
                    <xdr:col>2</xdr:col>
                    <xdr:colOff>257175</xdr:colOff>
                    <xdr:row>30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46" r:id="rId25" name="Option Button 46">
              <controlPr defaultSize="0" autoFill="0" autoLine="0" autoPict="0">
                <anchor moveWithCells="1">
                  <from>
                    <xdr:col>1</xdr:col>
                    <xdr:colOff>9525</xdr:colOff>
                    <xdr:row>31</xdr:row>
                    <xdr:rowOff>28575</xdr:rowOff>
                  </from>
                  <to>
                    <xdr:col>2</xdr:col>
                    <xdr:colOff>295275</xdr:colOff>
                    <xdr:row>31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47" r:id="rId26" name="Option Button 47">
              <controlPr defaultSize="0" autoFill="0" autoLine="0" autoPict="0">
                <anchor moveWithCells="1">
                  <from>
                    <xdr:col>7</xdr:col>
                    <xdr:colOff>28575</xdr:colOff>
                    <xdr:row>8</xdr:row>
                    <xdr:rowOff>180975</xdr:rowOff>
                  </from>
                  <to>
                    <xdr:col>10</xdr:col>
                    <xdr:colOff>381000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48" r:id="rId27" name="Option Button 48">
              <controlPr defaultSize="0" autoFill="0" autoLine="0" autoPict="0">
                <anchor moveWithCells="1">
                  <from>
                    <xdr:col>7</xdr:col>
                    <xdr:colOff>28575</xdr:colOff>
                    <xdr:row>10</xdr:row>
                    <xdr:rowOff>9525</xdr:rowOff>
                  </from>
                  <to>
                    <xdr:col>11</xdr:col>
                    <xdr:colOff>66675</xdr:colOff>
                    <xdr:row>11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49" r:id="rId28" name="Option Button 49">
              <controlPr defaultSize="0" autoFill="0" autoLine="0" autoPict="0">
                <anchor moveWithCells="1">
                  <from>
                    <xdr:col>7</xdr:col>
                    <xdr:colOff>28575</xdr:colOff>
                    <xdr:row>11</xdr:row>
                    <xdr:rowOff>28575</xdr:rowOff>
                  </from>
                  <to>
                    <xdr:col>10</xdr:col>
                    <xdr:colOff>409575</xdr:colOff>
                    <xdr:row>12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50" r:id="rId29" name="Option Button 50">
              <controlPr defaultSize="0" autoFill="0" autoLine="0" autoPict="0">
                <anchor moveWithCells="1">
                  <from>
                    <xdr:col>7</xdr:col>
                    <xdr:colOff>28575</xdr:colOff>
                    <xdr:row>12</xdr:row>
                    <xdr:rowOff>9525</xdr:rowOff>
                  </from>
                  <to>
                    <xdr:col>10</xdr:col>
                    <xdr:colOff>171450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51" r:id="rId30" name="Option Button 51">
              <controlPr defaultSize="0" autoFill="0" autoLine="0" autoPict="0">
                <anchor moveWithCells="1">
                  <from>
                    <xdr:col>7</xdr:col>
                    <xdr:colOff>28575</xdr:colOff>
                    <xdr:row>13</xdr:row>
                    <xdr:rowOff>9525</xdr:rowOff>
                  </from>
                  <to>
                    <xdr:col>10</xdr:col>
                    <xdr:colOff>47625</xdr:colOff>
                    <xdr:row>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52" r:id="rId31" name="Option Button 52">
              <controlPr defaultSize="0" autoFill="0" autoLine="0" autoPict="0">
                <anchor moveWithCells="1">
                  <from>
                    <xdr:col>7</xdr:col>
                    <xdr:colOff>28575</xdr:colOff>
                    <xdr:row>14</xdr:row>
                    <xdr:rowOff>19050</xdr:rowOff>
                  </from>
                  <to>
                    <xdr:col>10</xdr:col>
                    <xdr:colOff>133350</xdr:colOff>
                    <xdr:row>15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53" r:id="rId32" name="Option Button 53">
              <controlPr defaultSize="0" autoFill="0" autoLine="0" autoPict="0">
                <anchor moveWithCells="1">
                  <from>
                    <xdr:col>1</xdr:col>
                    <xdr:colOff>9525</xdr:colOff>
                    <xdr:row>32</xdr:row>
                    <xdr:rowOff>0</xdr:rowOff>
                  </from>
                  <to>
                    <xdr:col>3</xdr:col>
                    <xdr:colOff>314325</xdr:colOff>
                    <xdr:row>33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BC3BF2-B3B0-4402-8F00-4E72EEF76D96}">
  <sheetPr codeName="Munka5">
    <tabColor rgb="FF00B0F0"/>
  </sheetPr>
  <dimension ref="A3:U30"/>
  <sheetViews>
    <sheetView showGridLines="0" showRowColHeaders="0" workbookViewId="0">
      <selection activeCell="F23" sqref="F23"/>
    </sheetView>
  </sheetViews>
  <sheetFormatPr defaultRowHeight="15" x14ac:dyDescent="0.25"/>
  <cols>
    <col min="5" max="5" width="14.42578125" bestFit="1" customWidth="1"/>
    <col min="21" max="21" width="9.140625" style="66" hidden="1" customWidth="1"/>
  </cols>
  <sheetData>
    <row r="3" spans="1:21" x14ac:dyDescent="0.25">
      <c r="A3" s="4"/>
      <c r="B3" s="4"/>
      <c r="C3" s="4"/>
    </row>
    <row r="4" spans="1:21" x14ac:dyDescent="0.25">
      <c r="B4" s="133" t="s">
        <v>2</v>
      </c>
      <c r="C4" s="133"/>
      <c r="D4" s="133"/>
      <c r="E4" s="133"/>
      <c r="F4" s="133"/>
      <c r="G4" s="133"/>
      <c r="H4" s="133"/>
      <c r="I4" s="133"/>
      <c r="J4" s="133"/>
      <c r="K4" s="133"/>
      <c r="M4" s="198" t="s">
        <v>35</v>
      </c>
      <c r="N4" s="199"/>
      <c r="O4" s="200"/>
      <c r="Q4" s="204" t="s">
        <v>53</v>
      </c>
      <c r="R4" s="205"/>
      <c r="S4" s="205"/>
      <c r="T4" s="206"/>
    </row>
    <row r="5" spans="1:21" ht="15" customHeight="1" x14ac:dyDescent="0.25">
      <c r="B5" s="133"/>
      <c r="C5" s="133"/>
      <c r="D5" s="133"/>
      <c r="E5" s="133"/>
      <c r="F5" s="133"/>
      <c r="G5" s="133"/>
      <c r="H5" s="133"/>
      <c r="I5" s="133"/>
      <c r="J5" s="133"/>
      <c r="K5" s="133"/>
      <c r="M5" s="201"/>
      <c r="N5" s="202"/>
      <c r="O5" s="203"/>
      <c r="Q5" s="207"/>
      <c r="R5" s="208"/>
      <c r="S5" s="208"/>
      <c r="T5" s="209"/>
    </row>
    <row r="6" spans="1:21" x14ac:dyDescent="0.25">
      <c r="B6" s="192" t="s">
        <v>60</v>
      </c>
      <c r="C6" s="193"/>
      <c r="D6" s="193"/>
      <c r="E6" s="193"/>
      <c r="F6" s="193"/>
      <c r="G6" s="193"/>
      <c r="H6" s="193"/>
      <c r="I6" s="193"/>
      <c r="J6" s="193"/>
      <c r="K6" s="194"/>
      <c r="M6" s="155" t="str">
        <f>IF(U8=FALSE,"","Belvízi géphajón, képesített matrózként legalább 180 nap hajózási idő megléte")</f>
        <v/>
      </c>
      <c r="N6" s="156"/>
      <c r="O6" s="157"/>
      <c r="Q6" s="210"/>
      <c r="R6" s="211"/>
      <c r="S6" s="211"/>
      <c r="T6" s="212"/>
    </row>
    <row r="7" spans="1:21" x14ac:dyDescent="0.25">
      <c r="B7" s="195"/>
      <c r="C7" s="196"/>
      <c r="D7" s="196"/>
      <c r="E7" s="196"/>
      <c r="F7" s="196"/>
      <c r="G7" s="196"/>
      <c r="H7" s="196"/>
      <c r="I7" s="196"/>
      <c r="J7" s="196"/>
      <c r="K7" s="197"/>
      <c r="M7" s="158"/>
      <c r="N7" s="159"/>
      <c r="O7" s="160"/>
      <c r="Q7" s="155" t="s">
        <v>54</v>
      </c>
      <c r="R7" s="156"/>
      <c r="S7" s="156"/>
      <c r="T7" s="157"/>
    </row>
    <row r="8" spans="1:21" ht="15" customHeight="1" x14ac:dyDescent="0.25">
      <c r="B8" s="191" t="s">
        <v>52</v>
      </c>
      <c r="C8" s="191"/>
      <c r="D8" s="191"/>
      <c r="E8" s="191"/>
      <c r="F8" s="191"/>
      <c r="G8" s="191"/>
      <c r="H8" s="191"/>
      <c r="I8" s="191"/>
      <c r="J8" s="191"/>
      <c r="K8" s="191"/>
      <c r="M8" s="158"/>
      <c r="N8" s="159"/>
      <c r="O8" s="160"/>
      <c r="Q8" s="161"/>
      <c r="R8" s="162"/>
      <c r="S8" s="162"/>
      <c r="T8" s="163"/>
      <c r="U8" s="66" t="b">
        <v>0</v>
      </c>
    </row>
    <row r="9" spans="1:21" x14ac:dyDescent="0.25">
      <c r="B9" s="6"/>
      <c r="C9" s="7"/>
      <c r="D9" s="7"/>
      <c r="E9" s="7"/>
      <c r="F9" s="7"/>
      <c r="G9" s="7"/>
      <c r="H9" s="7"/>
      <c r="I9" s="7"/>
      <c r="J9" s="7"/>
      <c r="K9" s="8"/>
      <c r="M9" s="158"/>
      <c r="N9" s="159"/>
      <c r="O9" s="160"/>
      <c r="Q9" s="155" t="s">
        <v>56</v>
      </c>
      <c r="R9" s="156"/>
      <c r="S9" s="156"/>
      <c r="T9" s="157"/>
    </row>
    <row r="10" spans="1:21" ht="15" customHeight="1" x14ac:dyDescent="0.25">
      <c r="B10" s="6"/>
      <c r="C10" s="7"/>
      <c r="D10" s="7"/>
      <c r="E10" s="7"/>
      <c r="F10" s="7"/>
      <c r="G10" s="7"/>
      <c r="H10" s="7"/>
      <c r="I10" s="7"/>
      <c r="J10" s="7"/>
      <c r="K10" s="8"/>
      <c r="M10" s="158"/>
      <c r="N10" s="159"/>
      <c r="O10" s="160"/>
      <c r="Q10" s="161"/>
      <c r="R10" s="162"/>
      <c r="S10" s="162"/>
      <c r="T10" s="163"/>
    </row>
    <row r="11" spans="1:21" x14ac:dyDescent="0.25">
      <c r="B11" s="6"/>
      <c r="C11" s="7"/>
      <c r="D11" s="7"/>
      <c r="E11" s="7"/>
      <c r="F11" s="7"/>
      <c r="G11" s="7"/>
      <c r="H11" s="7"/>
      <c r="I11" s="7"/>
      <c r="J11" s="7"/>
      <c r="K11" s="8"/>
      <c r="M11" s="158"/>
      <c r="N11" s="159"/>
      <c r="O11" s="160"/>
      <c r="Q11" s="148" t="s">
        <v>55</v>
      </c>
      <c r="R11" s="148"/>
      <c r="S11" s="148"/>
      <c r="T11" s="148"/>
    </row>
    <row r="12" spans="1:21" x14ac:dyDescent="0.25">
      <c r="B12" s="6"/>
      <c r="C12" s="7"/>
      <c r="D12" s="7"/>
      <c r="E12" s="7"/>
      <c r="F12" s="7"/>
      <c r="G12" s="7"/>
      <c r="H12" s="7"/>
      <c r="I12" s="7"/>
      <c r="J12" s="7"/>
      <c r="K12" s="8"/>
      <c r="M12" s="158"/>
      <c r="N12" s="159"/>
      <c r="O12" s="160"/>
      <c r="Q12" s="148" t="s">
        <v>57</v>
      </c>
      <c r="R12" s="148"/>
      <c r="S12" s="148"/>
      <c r="T12" s="148"/>
    </row>
    <row r="13" spans="1:21" x14ac:dyDescent="0.25">
      <c r="B13" s="6"/>
      <c r="C13" s="7"/>
      <c r="D13" s="7"/>
      <c r="E13" s="7"/>
      <c r="F13" s="7"/>
      <c r="G13" s="7"/>
      <c r="H13" s="7"/>
      <c r="I13" s="7"/>
      <c r="J13" s="7"/>
      <c r="K13" s="8"/>
      <c r="M13" s="161"/>
      <c r="N13" s="162"/>
      <c r="O13" s="163"/>
      <c r="Q13" s="148" t="s">
        <v>61</v>
      </c>
      <c r="R13" s="148"/>
      <c r="S13" s="148"/>
      <c r="T13" s="148"/>
    </row>
    <row r="14" spans="1:21" x14ac:dyDescent="0.25">
      <c r="B14" s="9"/>
      <c r="C14" s="10"/>
      <c r="D14" s="10"/>
      <c r="E14" s="10"/>
      <c r="F14" s="10"/>
      <c r="G14" s="10"/>
      <c r="H14" s="10"/>
      <c r="I14" s="10"/>
      <c r="J14" s="10"/>
      <c r="K14" s="11"/>
      <c r="Q14" s="155" t="str">
        <f>IF(U8=TRUE,"","Jóváhagyott hajós képzésben tett sikeres matróz-gépkezelői vizsga letétele")</f>
        <v>Jóváhagyott hajós képzésben tett sikeres matróz-gépkezelői vizsga letétele</v>
      </c>
      <c r="R14" s="156"/>
      <c r="S14" s="156"/>
      <c r="T14" s="157"/>
    </row>
    <row r="15" spans="1:21" ht="15" customHeight="1" x14ac:dyDescent="0.25">
      <c r="Q15" s="158"/>
      <c r="R15" s="159"/>
      <c r="S15" s="159"/>
      <c r="T15" s="160"/>
    </row>
    <row r="16" spans="1:21" x14ac:dyDescent="0.25">
      <c r="Q16" s="161"/>
      <c r="R16" s="162"/>
      <c r="S16" s="162"/>
      <c r="T16" s="163"/>
    </row>
    <row r="17" spans="2:20" ht="23.25" x14ac:dyDescent="0.35">
      <c r="B17" s="126" t="s">
        <v>59</v>
      </c>
      <c r="C17" s="126"/>
      <c r="D17" s="126"/>
      <c r="E17" s="51">
        <f>Kezdőlap!E43</f>
        <v>9700</v>
      </c>
    </row>
    <row r="20" spans="2:20" x14ac:dyDescent="0.25">
      <c r="M20" s="222" t="str">
        <f>IF(U8=FALSE,"","Géptani alapismeretekkel akkor rendelkezik a jelölt, ha olyan közoktatási rendszerű képzésben vett részt (autószerelő, gépész), amely igazolhatóan géptani ismeretekhez kötött, és amely a végzettséget igazoló dokumentummal bizonyítható")</f>
        <v/>
      </c>
      <c r="N20" s="223"/>
      <c r="O20" s="223"/>
      <c r="P20" s="223"/>
      <c r="Q20" s="223"/>
      <c r="R20" s="223"/>
      <c r="S20" s="223"/>
      <c r="T20" s="224"/>
    </row>
    <row r="21" spans="2:20" x14ac:dyDescent="0.25">
      <c r="M21" s="225"/>
      <c r="N21" s="226"/>
      <c r="O21" s="226"/>
      <c r="P21" s="226"/>
      <c r="Q21" s="226"/>
      <c r="R21" s="226"/>
      <c r="S21" s="226"/>
      <c r="T21" s="227"/>
    </row>
    <row r="22" spans="2:20" x14ac:dyDescent="0.25">
      <c r="M22" s="225"/>
      <c r="N22" s="226"/>
      <c r="O22" s="226"/>
      <c r="P22" s="226"/>
      <c r="Q22" s="226"/>
      <c r="R22" s="226"/>
      <c r="S22" s="226"/>
      <c r="T22" s="227"/>
    </row>
    <row r="23" spans="2:20" x14ac:dyDescent="0.25">
      <c r="M23" s="225"/>
      <c r="N23" s="226"/>
      <c r="O23" s="226"/>
      <c r="P23" s="226"/>
      <c r="Q23" s="226"/>
      <c r="R23" s="226"/>
      <c r="S23" s="226"/>
      <c r="T23" s="227"/>
    </row>
    <row r="24" spans="2:20" x14ac:dyDescent="0.25">
      <c r="M24" s="225"/>
      <c r="N24" s="226"/>
      <c r="O24" s="226"/>
      <c r="P24" s="226"/>
      <c r="Q24" s="226"/>
      <c r="R24" s="226"/>
      <c r="S24" s="226"/>
      <c r="T24" s="227"/>
    </row>
    <row r="25" spans="2:20" x14ac:dyDescent="0.25">
      <c r="M25" s="225"/>
      <c r="N25" s="226"/>
      <c r="O25" s="226"/>
      <c r="P25" s="226"/>
      <c r="Q25" s="226"/>
      <c r="R25" s="226"/>
      <c r="S25" s="226"/>
      <c r="T25" s="227"/>
    </row>
    <row r="26" spans="2:20" x14ac:dyDescent="0.25">
      <c r="M26" s="228"/>
      <c r="N26" s="229"/>
      <c r="O26" s="229"/>
      <c r="P26" s="229"/>
      <c r="Q26" s="229"/>
      <c r="R26" s="229"/>
      <c r="S26" s="229"/>
      <c r="T26" s="230"/>
    </row>
    <row r="28" spans="2:20" x14ac:dyDescent="0.25">
      <c r="M28" s="213" t="s">
        <v>279</v>
      </c>
      <c r="N28" s="214"/>
      <c r="O28" s="214"/>
      <c r="P28" s="214"/>
      <c r="Q28" s="214"/>
      <c r="R28" s="214"/>
      <c r="S28" s="214"/>
      <c r="T28" s="215"/>
    </row>
    <row r="29" spans="2:20" x14ac:dyDescent="0.25">
      <c r="M29" s="216"/>
      <c r="N29" s="217"/>
      <c r="O29" s="217"/>
      <c r="P29" s="217"/>
      <c r="Q29" s="217"/>
      <c r="R29" s="217"/>
      <c r="S29" s="217"/>
      <c r="T29" s="218"/>
    </row>
    <row r="30" spans="2:20" x14ac:dyDescent="0.25">
      <c r="M30" s="219"/>
      <c r="N30" s="220"/>
      <c r="O30" s="220"/>
      <c r="P30" s="220"/>
      <c r="Q30" s="220"/>
      <c r="R30" s="220"/>
      <c r="S30" s="220"/>
      <c r="T30" s="221"/>
    </row>
  </sheetData>
  <sheetProtection sheet="1" objects="1" scenarios="1" selectLockedCells="1"/>
  <mergeCells count="15">
    <mergeCell ref="M28:T30"/>
    <mergeCell ref="B17:D17"/>
    <mergeCell ref="M20:T26"/>
    <mergeCell ref="Q11:T11"/>
    <mergeCell ref="Q12:T12"/>
    <mergeCell ref="B8:K8"/>
    <mergeCell ref="Q9:T10"/>
    <mergeCell ref="Q14:T16"/>
    <mergeCell ref="B6:K7"/>
    <mergeCell ref="B4:K5"/>
    <mergeCell ref="Q13:T13"/>
    <mergeCell ref="M4:O5"/>
    <mergeCell ref="Q4:T6"/>
    <mergeCell ref="Q7:T8"/>
    <mergeCell ref="M6:O13"/>
  </mergeCells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5121" r:id="rId3" name="Check Box 1">
              <controlPr defaultSize="0" autoFill="0" autoLine="0" autoPict="0">
                <anchor moveWithCells="1">
                  <from>
                    <xdr:col>1</xdr:col>
                    <xdr:colOff>19050</xdr:colOff>
                    <xdr:row>8</xdr:row>
                    <xdr:rowOff>152400</xdr:rowOff>
                  </from>
                  <to>
                    <xdr:col>4</xdr:col>
                    <xdr:colOff>609600</xdr:colOff>
                    <xdr:row>10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DF600B-605E-4031-A908-4A593D6844C2}">
  <sheetPr codeName="Munka6">
    <tabColor rgb="FF00B0F0"/>
  </sheetPr>
  <dimension ref="A3:T18"/>
  <sheetViews>
    <sheetView showGridLines="0" showRowColHeaders="0" workbookViewId="0">
      <selection activeCell="B18" sqref="B18"/>
    </sheetView>
  </sheetViews>
  <sheetFormatPr defaultRowHeight="15" x14ac:dyDescent="0.25"/>
  <cols>
    <col min="5" max="5" width="14.42578125" bestFit="1" customWidth="1"/>
    <col min="20" max="20" width="9.140625" style="66" hidden="1" customWidth="1"/>
  </cols>
  <sheetData>
    <row r="3" spans="1:20" x14ac:dyDescent="0.25">
      <c r="A3" s="5"/>
      <c r="B3" s="5"/>
      <c r="C3" s="5"/>
    </row>
    <row r="4" spans="1:20" x14ac:dyDescent="0.25">
      <c r="B4" s="133" t="s">
        <v>3</v>
      </c>
      <c r="C4" s="133"/>
      <c r="D4" s="133"/>
      <c r="E4" s="133"/>
      <c r="F4" s="133"/>
      <c r="G4" s="133"/>
      <c r="H4" s="133"/>
      <c r="I4" s="133"/>
      <c r="J4" s="133"/>
      <c r="L4" s="198" t="s">
        <v>35</v>
      </c>
      <c r="M4" s="199"/>
      <c r="N4" s="200"/>
      <c r="P4" s="198" t="s">
        <v>62</v>
      </c>
      <c r="Q4" s="199"/>
      <c r="R4" s="199"/>
      <c r="S4" s="200"/>
    </row>
    <row r="5" spans="1:20" x14ac:dyDescent="0.25">
      <c r="B5" s="133"/>
      <c r="C5" s="133"/>
      <c r="D5" s="133"/>
      <c r="E5" s="133"/>
      <c r="F5" s="133"/>
      <c r="G5" s="133"/>
      <c r="H5" s="133"/>
      <c r="I5" s="133"/>
      <c r="J5" s="133"/>
      <c r="L5" s="201"/>
      <c r="M5" s="202"/>
      <c r="N5" s="203"/>
      <c r="P5" s="201"/>
      <c r="Q5" s="202"/>
      <c r="R5" s="202"/>
      <c r="S5" s="203"/>
    </row>
    <row r="6" spans="1:20" ht="15" customHeight="1" x14ac:dyDescent="0.25">
      <c r="B6" s="231" t="s">
        <v>276</v>
      </c>
      <c r="C6" s="231"/>
      <c r="D6" s="231"/>
      <c r="E6" s="231"/>
      <c r="F6" s="231"/>
      <c r="G6" s="231"/>
      <c r="H6" s="231"/>
      <c r="I6" s="231"/>
      <c r="J6" s="231"/>
      <c r="L6" s="232" t="str">
        <f>IF(T6=FALSE,"A fedélzeti szolgálat tagjaként 360 nap hajózási idő, amelyből 180 nap matróz szolgálatban teljesített","Belvízi vízi úton eltöltött legalább 180 nap hajózási idő, képesített matrózként")</f>
        <v>A fedélzeti szolgálat tagjaként 360 nap hajózási idő, amelyből 180 nap matróz szolgálatban teljesített</v>
      </c>
      <c r="M6" s="233"/>
      <c r="N6" s="234"/>
      <c r="P6" s="191" t="s">
        <v>63</v>
      </c>
      <c r="Q6" s="191"/>
      <c r="R6" s="191"/>
      <c r="S6" s="191"/>
      <c r="T6" s="66" t="b">
        <v>0</v>
      </c>
    </row>
    <row r="7" spans="1:20" x14ac:dyDescent="0.25">
      <c r="B7" s="231"/>
      <c r="C7" s="231"/>
      <c r="D7" s="231"/>
      <c r="E7" s="231"/>
      <c r="F7" s="231"/>
      <c r="G7" s="231"/>
      <c r="H7" s="231"/>
      <c r="I7" s="231"/>
      <c r="J7" s="231"/>
      <c r="L7" s="235"/>
      <c r="M7" s="236"/>
      <c r="N7" s="237"/>
      <c r="P7" s="191" t="s">
        <v>55</v>
      </c>
      <c r="Q7" s="191"/>
      <c r="R7" s="191"/>
      <c r="S7" s="191"/>
    </row>
    <row r="8" spans="1:20" x14ac:dyDescent="0.25">
      <c r="B8" s="191" t="s">
        <v>52</v>
      </c>
      <c r="C8" s="191"/>
      <c r="D8" s="191"/>
      <c r="E8" s="191"/>
      <c r="F8" s="191"/>
      <c r="G8" s="191"/>
      <c r="H8" s="191"/>
      <c r="I8" s="191"/>
      <c r="J8" s="191"/>
      <c r="L8" s="235"/>
      <c r="M8" s="236"/>
      <c r="N8" s="237"/>
      <c r="P8" s="191" t="s">
        <v>57</v>
      </c>
      <c r="Q8" s="191"/>
      <c r="R8" s="191"/>
      <c r="S8" s="191"/>
    </row>
    <row r="9" spans="1:20" x14ac:dyDescent="0.25">
      <c r="B9" s="13"/>
      <c r="C9" s="14"/>
      <c r="D9" s="14"/>
      <c r="E9" s="14"/>
      <c r="F9" s="14"/>
      <c r="G9" s="14"/>
      <c r="H9" s="14"/>
      <c r="I9" s="14"/>
      <c r="J9" s="15"/>
      <c r="L9" s="235"/>
      <c r="M9" s="236"/>
      <c r="N9" s="237"/>
      <c r="P9" s="191" t="str">
        <f>IF(T6=FALSE,"Matróz képesítés","Képesített matróz képesítés")</f>
        <v>Matróz képesítés</v>
      </c>
      <c r="Q9" s="191"/>
      <c r="R9" s="191"/>
      <c r="S9" s="191"/>
    </row>
    <row r="10" spans="1:20" x14ac:dyDescent="0.25">
      <c r="B10" s="6"/>
      <c r="C10" s="7"/>
      <c r="D10" s="7"/>
      <c r="E10" s="7"/>
      <c r="F10" s="7"/>
      <c r="G10" s="7"/>
      <c r="H10" s="7"/>
      <c r="I10" s="7"/>
      <c r="J10" s="8"/>
      <c r="L10" s="235"/>
      <c r="M10" s="236"/>
      <c r="N10" s="237"/>
      <c r="P10" s="241" t="s">
        <v>56</v>
      </c>
      <c r="Q10" s="242"/>
      <c r="R10" s="242"/>
      <c r="S10" s="243"/>
    </row>
    <row r="11" spans="1:20" x14ac:dyDescent="0.25">
      <c r="B11" s="6"/>
      <c r="C11" s="7"/>
      <c r="D11" s="7"/>
      <c r="E11" s="7"/>
      <c r="F11" s="7"/>
      <c r="G11" s="7"/>
      <c r="H11" s="7"/>
      <c r="I11" s="7"/>
      <c r="J11" s="8"/>
      <c r="L11" s="235"/>
      <c r="M11" s="236"/>
      <c r="N11" s="237"/>
      <c r="P11" s="244"/>
      <c r="Q11" s="245"/>
      <c r="R11" s="245"/>
      <c r="S11" s="246"/>
    </row>
    <row r="12" spans="1:20" x14ac:dyDescent="0.25">
      <c r="B12" s="6"/>
      <c r="C12" s="7"/>
      <c r="D12" s="7"/>
      <c r="E12" s="7"/>
      <c r="F12" s="7"/>
      <c r="G12" s="7"/>
      <c r="H12" s="7"/>
      <c r="I12" s="7"/>
      <c r="J12" s="8"/>
      <c r="L12" s="235"/>
      <c r="M12" s="236"/>
      <c r="N12" s="237"/>
    </row>
    <row r="13" spans="1:20" x14ac:dyDescent="0.25">
      <c r="B13" s="9"/>
      <c r="C13" s="10"/>
      <c r="D13" s="10"/>
      <c r="E13" s="10"/>
      <c r="F13" s="10"/>
      <c r="G13" s="10"/>
      <c r="H13" s="10"/>
      <c r="I13" s="10"/>
      <c r="J13" s="11"/>
      <c r="L13" s="235"/>
      <c r="M13" s="236"/>
      <c r="N13" s="237"/>
    </row>
    <row r="14" spans="1:20" x14ac:dyDescent="0.25">
      <c r="L14" s="238"/>
      <c r="M14" s="239"/>
      <c r="N14" s="240"/>
    </row>
    <row r="16" spans="1:20" x14ac:dyDescent="0.25">
      <c r="L16" s="213" t="s">
        <v>279</v>
      </c>
      <c r="M16" s="214"/>
      <c r="N16" s="214"/>
      <c r="O16" s="214"/>
      <c r="P16" s="214"/>
      <c r="Q16" s="214"/>
      <c r="R16" s="214"/>
      <c r="S16" s="215"/>
    </row>
    <row r="17" spans="2:19" ht="23.25" x14ac:dyDescent="0.35">
      <c r="B17" s="126" t="s">
        <v>78</v>
      </c>
      <c r="C17" s="126"/>
      <c r="D17" s="126"/>
      <c r="E17" s="51">
        <f>Kezdőlap!E41</f>
        <v>7300</v>
      </c>
      <c r="L17" s="216"/>
      <c r="M17" s="217"/>
      <c r="N17" s="217"/>
      <c r="O17" s="217"/>
      <c r="P17" s="217"/>
      <c r="Q17" s="217"/>
      <c r="R17" s="217"/>
      <c r="S17" s="218"/>
    </row>
    <row r="18" spans="2:19" x14ac:dyDescent="0.25">
      <c r="L18" s="219"/>
      <c r="M18" s="220"/>
      <c r="N18" s="220"/>
      <c r="O18" s="220"/>
      <c r="P18" s="220"/>
      <c r="Q18" s="220"/>
      <c r="R18" s="220"/>
      <c r="S18" s="221"/>
    </row>
  </sheetData>
  <sheetProtection sheet="1" objects="1" scenarios="1" selectLockedCells="1"/>
  <mergeCells count="13">
    <mergeCell ref="L16:S18"/>
    <mergeCell ref="B6:J7"/>
    <mergeCell ref="B8:J8"/>
    <mergeCell ref="B17:D17"/>
    <mergeCell ref="B4:J5"/>
    <mergeCell ref="L4:N5"/>
    <mergeCell ref="P4:S5"/>
    <mergeCell ref="P6:S6"/>
    <mergeCell ref="P7:S7"/>
    <mergeCell ref="P8:S8"/>
    <mergeCell ref="P9:S9"/>
    <mergeCell ref="L6:N14"/>
    <mergeCell ref="P10:S11"/>
  </mergeCells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169" r:id="rId3" name="Check Box 1">
              <controlPr defaultSize="0" autoFill="0" autoLine="0" autoPict="0">
                <anchor moveWithCells="1">
                  <from>
                    <xdr:col>1</xdr:col>
                    <xdr:colOff>47625</xdr:colOff>
                    <xdr:row>8</xdr:row>
                    <xdr:rowOff>171450</xdr:rowOff>
                  </from>
                  <to>
                    <xdr:col>9</xdr:col>
                    <xdr:colOff>47625</xdr:colOff>
                    <xdr:row>10</xdr:row>
                    <xdr:rowOff>28575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3969DB-6EC3-4126-A4BB-0F0686DB1A79}">
  <sheetPr>
    <tabColor rgb="FF00B0F0"/>
  </sheetPr>
  <dimension ref="B4:S19"/>
  <sheetViews>
    <sheetView showGridLines="0" showRowColHeaders="0" workbookViewId="0">
      <selection activeCell="B10" sqref="B10:C16"/>
    </sheetView>
  </sheetViews>
  <sheetFormatPr defaultRowHeight="15" x14ac:dyDescent="0.25"/>
  <sheetData>
    <row r="4" spans="2:19" x14ac:dyDescent="0.25">
      <c r="B4" s="133" t="s">
        <v>171</v>
      </c>
      <c r="C4" s="133"/>
      <c r="D4" s="133"/>
      <c r="E4" s="133"/>
      <c r="F4" s="133"/>
      <c r="G4" s="133"/>
      <c r="H4" s="133"/>
      <c r="I4" s="133"/>
      <c r="J4" s="133"/>
      <c r="L4" s="198" t="s">
        <v>35</v>
      </c>
      <c r="M4" s="199"/>
      <c r="N4" s="200"/>
      <c r="P4" s="198" t="s">
        <v>62</v>
      </c>
      <c r="Q4" s="199"/>
      <c r="R4" s="199"/>
      <c r="S4" s="200"/>
    </row>
    <row r="5" spans="2:19" x14ac:dyDescent="0.25">
      <c r="B5" s="133"/>
      <c r="C5" s="133"/>
      <c r="D5" s="133"/>
      <c r="E5" s="133"/>
      <c r="F5" s="133"/>
      <c r="G5" s="133"/>
      <c r="H5" s="133"/>
      <c r="I5" s="133"/>
      <c r="J5" s="133"/>
      <c r="L5" s="201"/>
      <c r="M5" s="202"/>
      <c r="N5" s="203"/>
      <c r="P5" s="201"/>
      <c r="Q5" s="202"/>
      <c r="R5" s="202"/>
      <c r="S5" s="203"/>
    </row>
    <row r="6" spans="2:19" x14ac:dyDescent="0.25">
      <c r="B6" s="247" t="s">
        <v>286</v>
      </c>
      <c r="C6" s="247"/>
      <c r="D6" s="247"/>
      <c r="E6" s="247"/>
      <c r="F6" s="247"/>
      <c r="G6" s="247"/>
      <c r="H6" s="247"/>
      <c r="I6" s="247"/>
      <c r="J6" s="247"/>
      <c r="L6" s="232" t="s">
        <v>278</v>
      </c>
      <c r="M6" s="233"/>
      <c r="N6" s="234"/>
      <c r="P6" s="191" t="s">
        <v>277</v>
      </c>
      <c r="Q6" s="191"/>
      <c r="R6" s="191"/>
      <c r="S6" s="191"/>
    </row>
    <row r="7" spans="2:19" x14ac:dyDescent="0.25">
      <c r="B7" s="247"/>
      <c r="C7" s="247"/>
      <c r="D7" s="247"/>
      <c r="E7" s="247"/>
      <c r="F7" s="247"/>
      <c r="G7" s="247"/>
      <c r="H7" s="247"/>
      <c r="I7" s="247"/>
      <c r="J7" s="247"/>
      <c r="L7" s="235"/>
      <c r="M7" s="236"/>
      <c r="N7" s="237"/>
      <c r="P7" s="191" t="s">
        <v>55</v>
      </c>
      <c r="Q7" s="191"/>
      <c r="R7" s="191"/>
      <c r="S7" s="191"/>
    </row>
    <row r="8" spans="2:19" x14ac:dyDescent="0.25">
      <c r="L8" s="235"/>
      <c r="M8" s="236"/>
      <c r="N8" s="237"/>
      <c r="P8" s="191" t="s">
        <v>57</v>
      </c>
      <c r="Q8" s="191"/>
      <c r="R8" s="191"/>
      <c r="S8" s="191"/>
    </row>
    <row r="9" spans="2:19" ht="15.75" x14ac:dyDescent="0.25">
      <c r="B9" s="125" t="s">
        <v>78</v>
      </c>
      <c r="C9" s="125"/>
      <c r="L9" s="235"/>
      <c r="M9" s="236"/>
      <c r="N9" s="237"/>
      <c r="P9" s="241" t="s">
        <v>56</v>
      </c>
      <c r="Q9" s="242"/>
      <c r="R9" s="242"/>
      <c r="S9" s="243"/>
    </row>
    <row r="10" spans="2:19" x14ac:dyDescent="0.25">
      <c r="B10" s="131">
        <f>Kezdőlap!E41</f>
        <v>7300</v>
      </c>
      <c r="C10" s="131"/>
      <c r="L10" s="235"/>
      <c r="M10" s="236"/>
      <c r="N10" s="237"/>
      <c r="P10" s="244"/>
      <c r="Q10" s="245"/>
      <c r="R10" s="245"/>
      <c r="S10" s="246"/>
    </row>
    <row r="11" spans="2:19" x14ac:dyDescent="0.25">
      <c r="B11" s="131"/>
      <c r="C11" s="131"/>
      <c r="L11" s="235"/>
      <c r="M11" s="236"/>
      <c r="N11" s="237"/>
    </row>
    <row r="12" spans="2:19" x14ac:dyDescent="0.25">
      <c r="B12" s="131"/>
      <c r="C12" s="131"/>
      <c r="L12" s="235"/>
      <c r="M12" s="236"/>
      <c r="N12" s="237"/>
    </row>
    <row r="13" spans="2:19" x14ac:dyDescent="0.25">
      <c r="B13" s="131"/>
      <c r="C13" s="131"/>
      <c r="L13" s="235"/>
      <c r="M13" s="236"/>
      <c r="N13" s="237"/>
    </row>
    <row r="14" spans="2:19" x14ac:dyDescent="0.25">
      <c r="B14" s="131"/>
      <c r="C14" s="131"/>
      <c r="L14" s="238"/>
      <c r="M14" s="239"/>
      <c r="N14" s="240"/>
    </row>
    <row r="15" spans="2:19" x14ac:dyDescent="0.25">
      <c r="B15" s="131"/>
      <c r="C15" s="131"/>
    </row>
    <row r="16" spans="2:19" x14ac:dyDescent="0.25">
      <c r="B16" s="131"/>
      <c r="C16" s="131"/>
    </row>
    <row r="17" spans="12:19" ht="15" customHeight="1" x14ac:dyDescent="0.25">
      <c r="L17" s="213" t="s">
        <v>279</v>
      </c>
      <c r="M17" s="214"/>
      <c r="N17" s="214"/>
      <c r="O17" s="214"/>
      <c r="P17" s="214"/>
      <c r="Q17" s="214"/>
      <c r="R17" s="214"/>
      <c r="S17" s="215"/>
    </row>
    <row r="18" spans="12:19" x14ac:dyDescent="0.25">
      <c r="L18" s="216"/>
      <c r="M18" s="217"/>
      <c r="N18" s="217"/>
      <c r="O18" s="217"/>
      <c r="P18" s="217"/>
      <c r="Q18" s="217"/>
      <c r="R18" s="217"/>
      <c r="S18" s="218"/>
    </row>
    <row r="19" spans="12:19" x14ac:dyDescent="0.25">
      <c r="L19" s="219"/>
      <c r="M19" s="220"/>
      <c r="N19" s="220"/>
      <c r="O19" s="220"/>
      <c r="P19" s="220"/>
      <c r="Q19" s="220"/>
      <c r="R19" s="220"/>
      <c r="S19" s="221"/>
    </row>
  </sheetData>
  <sheetProtection sheet="1" objects="1" scenarios="1" selectLockedCells="1"/>
  <mergeCells count="12">
    <mergeCell ref="B9:C9"/>
    <mergeCell ref="B10:C16"/>
    <mergeCell ref="L17:S19"/>
    <mergeCell ref="B4:J5"/>
    <mergeCell ref="B6:J7"/>
    <mergeCell ref="L4:N5"/>
    <mergeCell ref="L6:N14"/>
    <mergeCell ref="P4:S5"/>
    <mergeCell ref="P6:S6"/>
    <mergeCell ref="P7:S7"/>
    <mergeCell ref="P8:S8"/>
    <mergeCell ref="P9:S10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C14176-14C0-4772-B0C8-A260FE1D433F}">
  <sheetPr codeName="Munka7">
    <tabColor rgb="FF00B0F0"/>
  </sheetPr>
  <dimension ref="B4:Y36"/>
  <sheetViews>
    <sheetView showGridLines="0" showRowColHeaders="0" workbookViewId="0">
      <selection activeCell="Y1" sqref="Y1:Y1048576"/>
    </sheetView>
  </sheetViews>
  <sheetFormatPr defaultRowHeight="15" x14ac:dyDescent="0.25"/>
  <cols>
    <col min="1" max="1" width="3.140625" customWidth="1"/>
    <col min="2" max="2" width="17.140625" customWidth="1"/>
    <col min="3" max="3" width="18" customWidth="1"/>
    <col min="4" max="4" width="18.28515625" customWidth="1"/>
    <col min="5" max="5" width="17" customWidth="1"/>
    <col min="6" max="6" width="16.85546875" customWidth="1"/>
    <col min="7" max="7" width="17" customWidth="1"/>
    <col min="8" max="8" width="10.5703125" bestFit="1" customWidth="1"/>
    <col min="10" max="10" width="9.5703125" bestFit="1" customWidth="1"/>
    <col min="11" max="11" width="9.28515625" bestFit="1" customWidth="1"/>
    <col min="12" max="12" width="10.42578125" bestFit="1" customWidth="1"/>
    <col min="14" max="14" width="2.85546875" customWidth="1"/>
    <col min="18" max="18" width="3.28515625" customWidth="1"/>
    <col min="25" max="25" width="9.140625" style="66" hidden="1" customWidth="1"/>
  </cols>
  <sheetData>
    <row r="4" spans="2:25" x14ac:dyDescent="0.25">
      <c r="B4" s="248" t="s">
        <v>4</v>
      </c>
      <c r="C4" s="249"/>
      <c r="D4" s="249"/>
      <c r="E4" s="249"/>
      <c r="F4" s="249"/>
      <c r="G4" s="249"/>
      <c r="H4" s="249"/>
      <c r="I4" s="249"/>
      <c r="J4" s="249"/>
      <c r="K4" s="249"/>
      <c r="L4" s="249"/>
      <c r="M4" s="250"/>
      <c r="O4" s="149" t="s">
        <v>35</v>
      </c>
      <c r="P4" s="150"/>
      <c r="Q4" s="151"/>
      <c r="R4" s="12"/>
      <c r="S4" s="149" t="s">
        <v>65</v>
      </c>
      <c r="T4" s="150"/>
      <c r="U4" s="150"/>
      <c r="V4" s="150"/>
      <c r="W4" s="150"/>
      <c r="X4" s="151"/>
    </row>
    <row r="5" spans="2:25" x14ac:dyDescent="0.25">
      <c r="B5" s="251"/>
      <c r="C5" s="252"/>
      <c r="D5" s="252"/>
      <c r="E5" s="252"/>
      <c r="F5" s="252"/>
      <c r="G5" s="252"/>
      <c r="H5" s="252"/>
      <c r="I5" s="252"/>
      <c r="J5" s="252"/>
      <c r="K5" s="252"/>
      <c r="L5" s="252"/>
      <c r="M5" s="253"/>
      <c r="O5" s="152"/>
      <c r="P5" s="153" t="b">
        <v>0</v>
      </c>
      <c r="Q5" s="154"/>
      <c r="R5" s="12"/>
      <c r="S5" s="152"/>
      <c r="T5" s="153"/>
      <c r="U5" s="153"/>
      <c r="V5" s="153"/>
      <c r="W5" s="153"/>
      <c r="X5" s="154"/>
    </row>
    <row r="6" spans="2:25" x14ac:dyDescent="0.25">
      <c r="B6" s="254" t="s">
        <v>64</v>
      </c>
      <c r="C6" s="255"/>
      <c r="D6" s="255"/>
      <c r="E6" s="255"/>
      <c r="F6" s="255"/>
      <c r="G6" s="255"/>
      <c r="H6" s="255"/>
      <c r="I6" s="255"/>
      <c r="J6" s="255"/>
      <c r="K6" s="255"/>
      <c r="L6" s="255"/>
      <c r="M6" s="256"/>
      <c r="O6" s="232" t="str">
        <f>IF(OR(Y6,Y7,Y10,Y11,Y12,Y14,Y15)=TRUE,"Nem kell további gyakorlati időt igazolni !",IF(OR(Y9,Y8)=TRUE," 3 hónap szolgálati célú vagy hivatásos fedélzeti szolgálat","4 hónap szolgálati célú vagy hivatásos fedélzeti szolgálat"))</f>
        <v>4 hónap szolgálati célú vagy hivatásos fedélzeti szolgálat</v>
      </c>
      <c r="P6" s="233"/>
      <c r="Q6" s="234"/>
      <c r="S6" s="148" t="str">
        <f>IF(J26&gt;0,"Írásos vizsgajelentkezési/felmentési kérelem","Okmányigénylés és fotó benyújtása")</f>
        <v>Írásos vizsgajelentkezési/felmentési kérelem</v>
      </c>
      <c r="T6" s="148"/>
      <c r="U6" s="148"/>
      <c r="V6" s="148"/>
      <c r="W6" s="148"/>
      <c r="X6" s="148"/>
      <c r="Y6" s="66" t="b">
        <v>0</v>
      </c>
    </row>
    <row r="7" spans="2:25" x14ac:dyDescent="0.25">
      <c r="B7" s="13"/>
      <c r="C7" s="14"/>
      <c r="D7" s="14"/>
      <c r="E7" s="14"/>
      <c r="F7" s="14"/>
      <c r="G7" s="14"/>
      <c r="H7" s="14"/>
      <c r="I7" s="14"/>
      <c r="J7" s="14"/>
      <c r="K7" s="14"/>
      <c r="L7" s="14"/>
      <c r="M7" s="15"/>
      <c r="O7" s="235"/>
      <c r="P7" s="236"/>
      <c r="Q7" s="237"/>
      <c r="S7" s="148" t="s">
        <v>55</v>
      </c>
      <c r="T7" s="148"/>
      <c r="U7" s="148"/>
      <c r="V7" s="148"/>
      <c r="W7" s="148"/>
      <c r="X7" s="148"/>
      <c r="Y7" s="66" t="b">
        <v>0</v>
      </c>
    </row>
    <row r="8" spans="2:25" x14ac:dyDescent="0.25">
      <c r="B8" s="6"/>
      <c r="C8" s="7"/>
      <c r="D8" s="7"/>
      <c r="E8" s="7"/>
      <c r="F8" s="7"/>
      <c r="G8" s="7"/>
      <c r="H8" s="7"/>
      <c r="I8" s="7"/>
      <c r="J8" s="7"/>
      <c r="K8" s="7"/>
      <c r="L8" s="7"/>
      <c r="M8" s="8"/>
      <c r="O8" s="235"/>
      <c r="P8" s="236"/>
      <c r="Q8" s="237"/>
      <c r="S8" s="148" t="s">
        <v>73</v>
      </c>
      <c r="T8" s="148"/>
      <c r="U8" s="148"/>
      <c r="V8" s="148"/>
      <c r="W8" s="148"/>
      <c r="X8" s="148"/>
      <c r="Y8" s="66" t="b">
        <v>0</v>
      </c>
    </row>
    <row r="9" spans="2:25" x14ac:dyDescent="0.25">
      <c r="B9" s="6"/>
      <c r="C9" s="7"/>
      <c r="D9" s="7"/>
      <c r="E9" s="7"/>
      <c r="F9" s="7"/>
      <c r="G9" s="7"/>
      <c r="H9" s="7"/>
      <c r="I9" s="7"/>
      <c r="J9" s="7"/>
      <c r="K9" s="7"/>
      <c r="L9" s="7"/>
      <c r="M9" s="8"/>
      <c r="O9" s="235"/>
      <c r="P9" s="236" t="b">
        <v>0</v>
      </c>
      <c r="Q9" s="237"/>
      <c r="S9" s="257" t="s">
        <v>74</v>
      </c>
      <c r="T9" s="257"/>
      <c r="U9" s="257"/>
      <c r="V9" s="257"/>
      <c r="W9" s="257"/>
      <c r="X9" s="257"/>
      <c r="Y9" s="66" t="b">
        <v>0</v>
      </c>
    </row>
    <row r="10" spans="2:25" x14ac:dyDescent="0.25">
      <c r="B10" s="6"/>
      <c r="C10" s="7"/>
      <c r="D10" s="7"/>
      <c r="E10" s="7"/>
      <c r="F10" s="7"/>
      <c r="G10" s="7"/>
      <c r="H10" s="7"/>
      <c r="I10" s="7"/>
      <c r="J10" s="7"/>
      <c r="K10" s="7"/>
      <c r="L10" s="7"/>
      <c r="M10" s="8"/>
      <c r="O10" s="235"/>
      <c r="P10" s="236"/>
      <c r="Q10" s="237"/>
      <c r="S10" s="257"/>
      <c r="T10" s="257"/>
      <c r="U10" s="257"/>
      <c r="V10" s="257"/>
      <c r="W10" s="257"/>
      <c r="X10" s="257"/>
      <c r="Y10" s="66" t="b">
        <v>0</v>
      </c>
    </row>
    <row r="11" spans="2:25" x14ac:dyDescent="0.25">
      <c r="B11" s="6"/>
      <c r="C11" s="7"/>
      <c r="D11" s="7"/>
      <c r="E11" s="7"/>
      <c r="F11" s="7"/>
      <c r="G11" s="7"/>
      <c r="H11" s="7"/>
      <c r="I11" s="7"/>
      <c r="J11" s="7"/>
      <c r="K11" s="7"/>
      <c r="L11" s="7"/>
      <c r="M11" s="8"/>
      <c r="O11" s="235"/>
      <c r="P11" s="236"/>
      <c r="Q11" s="237"/>
      <c r="S11" s="257" t="str">
        <f>IF(J26=0,"",IF(Y16=TRUE,"Hajózási szakképzésben szerzett képesítő bizonyítvány","A szolgálati kisgéphajó-vezető vizsga tantárgyait magába foglaló jóváhagyott képzés igazolt elvégzése"))</f>
        <v>A szolgálati kisgéphajó-vezető vizsga tantárgyait magába foglaló jóváhagyott képzés igazolt elvégzése</v>
      </c>
      <c r="T11" s="257"/>
      <c r="U11" s="257"/>
      <c r="V11" s="257"/>
      <c r="W11" s="257"/>
      <c r="X11" s="257"/>
      <c r="Y11" s="66" t="b">
        <v>0</v>
      </c>
    </row>
    <row r="12" spans="2:25" x14ac:dyDescent="0.25">
      <c r="B12" s="6"/>
      <c r="C12" s="7"/>
      <c r="D12" s="7"/>
      <c r="E12" s="7"/>
      <c r="F12" s="7"/>
      <c r="G12" s="7"/>
      <c r="H12" s="7"/>
      <c r="I12" s="7"/>
      <c r="J12" s="7"/>
      <c r="K12" s="7"/>
      <c r="L12" s="7"/>
      <c r="M12" s="8"/>
      <c r="O12" s="235"/>
      <c r="P12" s="236"/>
      <c r="Q12" s="237"/>
      <c r="S12" s="257"/>
      <c r="T12" s="257"/>
      <c r="U12" s="257"/>
      <c r="V12" s="257"/>
      <c r="W12" s="257"/>
      <c r="X12" s="257"/>
      <c r="Y12" s="66" t="b">
        <v>0</v>
      </c>
    </row>
    <row r="13" spans="2:25" x14ac:dyDescent="0.25">
      <c r="B13" s="6"/>
      <c r="C13" s="7"/>
      <c r="D13" s="7"/>
      <c r="E13" s="7"/>
      <c r="F13" s="7"/>
      <c r="G13" s="7"/>
      <c r="H13" s="7"/>
      <c r="I13" s="7"/>
      <c r="J13" s="7"/>
      <c r="K13" s="7"/>
      <c r="L13" s="7"/>
      <c r="M13" s="8"/>
      <c r="O13" s="235"/>
      <c r="P13" s="236"/>
      <c r="Q13" s="237"/>
      <c r="S13" s="257"/>
      <c r="T13" s="257"/>
      <c r="U13" s="257"/>
      <c r="V13" s="257"/>
      <c r="W13" s="257"/>
      <c r="X13" s="257"/>
      <c r="Y13" s="66" t="b">
        <v>0</v>
      </c>
    </row>
    <row r="14" spans="2:25" x14ac:dyDescent="0.25">
      <c r="B14" s="6"/>
      <c r="C14" s="7"/>
      <c r="D14" s="7"/>
      <c r="E14" s="7"/>
      <c r="F14" s="7"/>
      <c r="G14" s="7"/>
      <c r="H14" s="7"/>
      <c r="I14" s="7"/>
      <c r="J14" s="7"/>
      <c r="K14" s="7"/>
      <c r="L14" s="7"/>
      <c r="M14" s="8"/>
      <c r="O14" s="235"/>
      <c r="P14" s="236" t="b">
        <v>0</v>
      </c>
      <c r="Q14" s="237"/>
      <c r="S14" s="148" t="s">
        <v>75</v>
      </c>
      <c r="T14" s="148"/>
      <c r="U14" s="148"/>
      <c r="V14" s="148"/>
      <c r="W14" s="148"/>
      <c r="X14" s="148"/>
      <c r="Y14" s="66" t="b">
        <v>0</v>
      </c>
    </row>
    <row r="15" spans="2:25" x14ac:dyDescent="0.25">
      <c r="B15" s="6"/>
      <c r="C15" s="7"/>
      <c r="D15" s="7"/>
      <c r="E15" s="7"/>
      <c r="F15" s="7"/>
      <c r="G15" s="7"/>
      <c r="H15" s="7"/>
      <c r="I15" s="7"/>
      <c r="J15" s="7"/>
      <c r="K15" s="7"/>
      <c r="L15" s="7"/>
      <c r="M15" s="8"/>
      <c r="O15" s="235"/>
      <c r="P15" s="236"/>
      <c r="Q15" s="237"/>
      <c r="S15" s="257" t="str">
        <f>IF(OR(Y13,Y16)=TRUE,"Felmentési kérelemhez: képesítő okmány,vizsgajegyzőkönyv, leckekönyv vagy tanterv","")</f>
        <v/>
      </c>
      <c r="T15" s="257"/>
      <c r="U15" s="257"/>
      <c r="V15" s="257"/>
      <c r="W15" s="257"/>
      <c r="X15" s="257"/>
      <c r="Y15" s="66" t="b">
        <v>0</v>
      </c>
    </row>
    <row r="16" spans="2:25" x14ac:dyDescent="0.25">
      <c r="B16" s="6"/>
      <c r="C16" s="7"/>
      <c r="D16" s="7"/>
      <c r="E16" s="7"/>
      <c r="F16" s="7"/>
      <c r="G16" s="7"/>
      <c r="H16" s="7"/>
      <c r="I16" s="7"/>
      <c r="J16" s="7"/>
      <c r="K16" s="7"/>
      <c r="L16" s="7"/>
      <c r="M16" s="8"/>
      <c r="O16" s="238"/>
      <c r="P16" s="239"/>
      <c r="Q16" s="240"/>
      <c r="S16" s="257"/>
      <c r="T16" s="257"/>
      <c r="U16" s="257"/>
      <c r="V16" s="257"/>
      <c r="W16" s="257"/>
      <c r="X16" s="257"/>
      <c r="Y16" s="66" t="b">
        <v>0</v>
      </c>
    </row>
    <row r="17" spans="2:25" x14ac:dyDescent="0.25">
      <c r="B17" s="6"/>
      <c r="C17" s="7"/>
      <c r="D17" s="7"/>
      <c r="E17" s="7"/>
      <c r="F17" s="7"/>
      <c r="G17" s="7"/>
      <c r="H17" s="7"/>
      <c r="I17" s="7"/>
      <c r="J17" s="7"/>
      <c r="K17" s="7"/>
      <c r="L17" s="7"/>
      <c r="M17" s="8"/>
      <c r="S17" s="148" t="str">
        <f>IF(OR(Y6,Y7,Y8,Y9,Y10,Y11,Y12,Y13,Y14,Y17,Y15)=TRUE,"","Legalább alapfokú iskolai végzettség igazolása")</f>
        <v>Legalább alapfokú iskolai végzettség igazolása</v>
      </c>
      <c r="T17" s="148"/>
      <c r="U17" s="148"/>
      <c r="V17" s="148"/>
      <c r="W17" s="148"/>
      <c r="X17" s="148"/>
      <c r="Y17" s="66" t="b">
        <v>0</v>
      </c>
    </row>
    <row r="18" spans="2:25" x14ac:dyDescent="0.25">
      <c r="B18" s="6"/>
      <c r="C18" s="7"/>
      <c r="D18" s="7"/>
      <c r="E18" s="7"/>
      <c r="F18" s="7"/>
      <c r="G18" s="7"/>
      <c r="H18" s="7"/>
      <c r="I18" s="7"/>
      <c r="J18" s="7"/>
      <c r="K18" s="7"/>
      <c r="L18" s="7"/>
      <c r="M18" s="8"/>
      <c r="S18" s="148"/>
      <c r="T18" s="148"/>
      <c r="U18" s="148"/>
      <c r="V18" s="148"/>
      <c r="W18" s="148"/>
      <c r="X18" s="148"/>
    </row>
    <row r="19" spans="2:25" x14ac:dyDescent="0.25">
      <c r="B19" s="6"/>
      <c r="C19" s="7"/>
      <c r="D19" s="7"/>
      <c r="E19" s="7"/>
      <c r="F19" s="7"/>
      <c r="G19" s="7"/>
      <c r="H19" s="7"/>
      <c r="I19" s="7"/>
      <c r="J19" s="7"/>
      <c r="K19" s="7"/>
      <c r="L19" s="7"/>
      <c r="M19" s="8"/>
      <c r="S19" s="45"/>
      <c r="T19" s="45"/>
      <c r="U19" s="45"/>
      <c r="V19" s="45"/>
      <c r="W19" s="45"/>
      <c r="X19" s="45"/>
    </row>
    <row r="20" spans="2:25" x14ac:dyDescent="0.25">
      <c r="B20" s="6"/>
      <c r="C20" s="7"/>
      <c r="D20" s="7"/>
      <c r="E20" s="7"/>
      <c r="F20" s="7"/>
      <c r="G20" s="7"/>
      <c r="H20" s="7"/>
      <c r="I20" s="7"/>
      <c r="J20" s="7"/>
      <c r="K20" s="7"/>
      <c r="L20" s="7"/>
      <c r="M20" s="8"/>
      <c r="S20" s="155" t="str">
        <f>IF(Y16=TRUE,"Hajózási szakképzésben szerzett képesítő bizonyítványként azt a képesítő okmányt lehet elfogadni, amelyet olyan oktatási intézmény adott ki, amelynek tanterve a hajózási hatóság által jóváhagyott szakmai oktatási programot tartalmazza","")</f>
        <v/>
      </c>
      <c r="T20" s="156"/>
      <c r="U20" s="156"/>
      <c r="V20" s="156"/>
      <c r="W20" s="156"/>
      <c r="X20" s="157"/>
    </row>
    <row r="21" spans="2:25" x14ac:dyDescent="0.25">
      <c r="B21" s="6"/>
      <c r="C21" s="7"/>
      <c r="D21" s="7"/>
      <c r="E21" s="7"/>
      <c r="F21" s="7"/>
      <c r="G21" s="7"/>
      <c r="H21" s="7"/>
      <c r="I21" s="7"/>
      <c r="J21" s="7"/>
      <c r="K21" s="7"/>
      <c r="L21" s="7"/>
      <c r="M21" s="8"/>
      <c r="S21" s="158"/>
      <c r="T21" s="159"/>
      <c r="U21" s="159"/>
      <c r="V21" s="159"/>
      <c r="W21" s="159"/>
      <c r="X21" s="160"/>
    </row>
    <row r="22" spans="2:25" x14ac:dyDescent="0.25">
      <c r="B22" s="6"/>
      <c r="C22" s="7"/>
      <c r="D22" s="7"/>
      <c r="E22" s="7"/>
      <c r="F22" s="7"/>
      <c r="G22" s="7"/>
      <c r="H22" s="7"/>
      <c r="I22" s="7"/>
      <c r="J22" s="7"/>
      <c r="K22" s="7"/>
      <c r="L22" s="7"/>
      <c r="M22" s="8"/>
      <c r="S22" s="158"/>
      <c r="T22" s="159"/>
      <c r="U22" s="159"/>
      <c r="V22" s="159"/>
      <c r="W22" s="159"/>
      <c r="X22" s="160"/>
    </row>
    <row r="23" spans="2:25" x14ac:dyDescent="0.25">
      <c r="B23" s="9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1"/>
      <c r="S23" s="158"/>
      <c r="T23" s="159"/>
      <c r="U23" s="159"/>
      <c r="V23" s="159"/>
      <c r="W23" s="159"/>
      <c r="X23" s="160"/>
    </row>
    <row r="24" spans="2:25" x14ac:dyDescent="0.25">
      <c r="S24" s="158"/>
      <c r="T24" s="159"/>
      <c r="U24" s="159"/>
      <c r="V24" s="159"/>
      <c r="W24" s="159"/>
      <c r="X24" s="160"/>
    </row>
    <row r="25" spans="2:25" ht="15.75" x14ac:dyDescent="0.25">
      <c r="B25" s="125" t="s">
        <v>37</v>
      </c>
      <c r="C25" s="125"/>
      <c r="D25" s="125"/>
      <c r="E25" s="125"/>
      <c r="F25" s="125"/>
      <c r="G25" s="125"/>
      <c r="H25" s="125"/>
      <c r="I25" s="1"/>
      <c r="J25" s="125" t="s">
        <v>43</v>
      </c>
      <c r="K25" s="125"/>
      <c r="L25" s="125" t="s">
        <v>78</v>
      </c>
      <c r="M25" s="125"/>
      <c r="S25" s="161"/>
      <c r="T25" s="162"/>
      <c r="U25" s="162"/>
      <c r="V25" s="162"/>
      <c r="W25" s="162"/>
      <c r="X25" s="163"/>
    </row>
    <row r="26" spans="2:25" ht="18" customHeight="1" x14ac:dyDescent="0.25">
      <c r="B26" s="129" t="s">
        <v>66</v>
      </c>
      <c r="C26" s="129" t="s">
        <v>67</v>
      </c>
      <c r="D26" s="129" t="s">
        <v>68</v>
      </c>
      <c r="E26" s="129" t="s">
        <v>69</v>
      </c>
      <c r="F26" s="129" t="s">
        <v>70</v>
      </c>
      <c r="G26" s="129" t="s">
        <v>71</v>
      </c>
      <c r="H26" s="129" t="s">
        <v>72</v>
      </c>
      <c r="I26" s="1"/>
      <c r="J26" s="258">
        <f>SUM(B36:H36)</f>
        <v>103500</v>
      </c>
      <c r="K26" s="258"/>
      <c r="L26" s="131">
        <f>Kezdőlap!E41</f>
        <v>7300</v>
      </c>
      <c r="M26" s="131"/>
      <c r="S26" s="257" t="s">
        <v>76</v>
      </c>
      <c r="T26" s="257"/>
      <c r="U26" s="257"/>
      <c r="V26" s="257"/>
      <c r="W26" s="257"/>
      <c r="X26" s="257"/>
    </row>
    <row r="27" spans="2:25" ht="15.75" customHeight="1" x14ac:dyDescent="0.25">
      <c r="B27" s="129"/>
      <c r="C27" s="129"/>
      <c r="D27" s="129"/>
      <c r="E27" s="129"/>
      <c r="F27" s="129"/>
      <c r="G27" s="129"/>
      <c r="H27" s="129"/>
      <c r="I27" s="1"/>
      <c r="J27" s="258"/>
      <c r="K27" s="258"/>
      <c r="L27" s="131"/>
      <c r="M27" s="131"/>
      <c r="S27" s="257"/>
      <c r="T27" s="257"/>
      <c r="U27" s="257"/>
      <c r="V27" s="257"/>
      <c r="W27" s="257"/>
      <c r="X27" s="257"/>
    </row>
    <row r="28" spans="2:25" ht="15.75" customHeight="1" x14ac:dyDescent="0.25">
      <c r="B28" s="129"/>
      <c r="C28" s="129"/>
      <c r="D28" s="129"/>
      <c r="E28" s="129"/>
      <c r="F28" s="129"/>
      <c r="G28" s="129"/>
      <c r="H28" s="129"/>
      <c r="I28" s="17"/>
      <c r="J28" s="258"/>
      <c r="K28" s="258"/>
      <c r="L28" s="131"/>
      <c r="M28" s="131"/>
      <c r="S28" s="257"/>
      <c r="T28" s="257"/>
      <c r="U28" s="257"/>
      <c r="V28" s="257"/>
      <c r="W28" s="257"/>
      <c r="X28" s="257"/>
    </row>
    <row r="29" spans="2:25" ht="15" customHeight="1" x14ac:dyDescent="0.25">
      <c r="B29" s="129"/>
      <c r="C29" s="129"/>
      <c r="D29" s="129"/>
      <c r="E29" s="129"/>
      <c r="F29" s="129"/>
      <c r="G29" s="129"/>
      <c r="H29" s="129"/>
      <c r="J29" s="258"/>
      <c r="K29" s="258"/>
      <c r="L29" s="131"/>
      <c r="M29" s="131"/>
      <c r="S29" s="257"/>
      <c r="T29" s="257"/>
      <c r="U29" s="257"/>
      <c r="V29" s="257"/>
      <c r="W29" s="257"/>
      <c r="X29" s="257"/>
    </row>
    <row r="30" spans="2:25" ht="15" customHeight="1" x14ac:dyDescent="0.25">
      <c r="B30" s="129"/>
      <c r="C30" s="129"/>
      <c r="D30" s="129"/>
      <c r="E30" s="129"/>
      <c r="F30" s="129"/>
      <c r="G30" s="129"/>
      <c r="H30" s="129"/>
      <c r="J30" s="258"/>
      <c r="K30" s="258"/>
      <c r="L30" s="131"/>
      <c r="M30" s="131"/>
      <c r="S30" s="257"/>
      <c r="T30" s="257"/>
      <c r="U30" s="257"/>
      <c r="V30" s="257"/>
      <c r="W30" s="257"/>
      <c r="X30" s="257"/>
    </row>
    <row r="31" spans="2:25" ht="15" customHeight="1" x14ac:dyDescent="0.25">
      <c r="B31" s="129"/>
      <c r="C31" s="129"/>
      <c r="D31" s="129"/>
      <c r="E31" s="129"/>
      <c r="F31" s="129"/>
      <c r="G31" s="129"/>
      <c r="H31" s="129"/>
      <c r="J31" s="258"/>
      <c r="K31" s="258"/>
      <c r="L31" s="131"/>
      <c r="M31" s="131"/>
      <c r="S31" s="257"/>
      <c r="T31" s="257"/>
      <c r="U31" s="257"/>
      <c r="V31" s="257"/>
      <c r="W31" s="257"/>
      <c r="X31" s="257"/>
    </row>
    <row r="32" spans="2:25" ht="15" customHeight="1" x14ac:dyDescent="0.25">
      <c r="B32" s="129"/>
      <c r="C32" s="129"/>
      <c r="D32" s="129"/>
      <c r="E32" s="129"/>
      <c r="F32" s="129"/>
      <c r="G32" s="129"/>
      <c r="H32" s="129"/>
      <c r="J32" s="258"/>
      <c r="K32" s="258"/>
      <c r="L32" s="131"/>
      <c r="M32" s="131"/>
    </row>
    <row r="33" spans="2:24" ht="15" customHeight="1" x14ac:dyDescent="0.25">
      <c r="B33" s="129"/>
      <c r="C33" s="129"/>
      <c r="D33" s="129"/>
      <c r="E33" s="129"/>
      <c r="F33" s="129"/>
      <c r="G33" s="129"/>
      <c r="H33" s="129"/>
      <c r="S33" s="213" t="s">
        <v>279</v>
      </c>
      <c r="T33" s="214"/>
      <c r="U33" s="214"/>
      <c r="V33" s="214"/>
      <c r="W33" s="214"/>
      <c r="X33" s="215"/>
    </row>
    <row r="34" spans="2:24" x14ac:dyDescent="0.25">
      <c r="B34" s="129"/>
      <c r="C34" s="129"/>
      <c r="D34" s="129"/>
      <c r="E34" s="129"/>
      <c r="F34" s="129"/>
      <c r="G34" s="129"/>
      <c r="H34" s="129"/>
      <c r="S34" s="216"/>
      <c r="T34" s="217"/>
      <c r="U34" s="217"/>
      <c r="V34" s="217"/>
      <c r="W34" s="217"/>
      <c r="X34" s="218"/>
    </row>
    <row r="35" spans="2:24" ht="15.75" x14ac:dyDescent="0.25">
      <c r="B35" s="16" t="str">
        <f t="shared" ref="B35:G35" si="0">IF(B36=0,"Felmentés",IF(OR($Y$13,$Y$16)=TRUE,"Felmentés/vizsga","Vizsga"))</f>
        <v>Vizsga</v>
      </c>
      <c r="C35" s="16" t="str">
        <f t="shared" si="0"/>
        <v>Vizsga</v>
      </c>
      <c r="D35" s="16" t="str">
        <f t="shared" si="0"/>
        <v>Vizsga</v>
      </c>
      <c r="E35" s="16" t="str">
        <f t="shared" si="0"/>
        <v>Vizsga</v>
      </c>
      <c r="F35" s="16" t="str">
        <f t="shared" si="0"/>
        <v>Vizsga</v>
      </c>
      <c r="G35" s="16" t="str">
        <f t="shared" si="0"/>
        <v>Vizsga</v>
      </c>
      <c r="H35" s="16" t="str">
        <f>IF(H36=0,"Felmentés","Vizsga")</f>
        <v>Vizsga</v>
      </c>
      <c r="S35" s="216"/>
      <c r="T35" s="217"/>
      <c r="U35" s="217"/>
      <c r="V35" s="217"/>
      <c r="W35" s="217"/>
      <c r="X35" s="218"/>
    </row>
    <row r="36" spans="2:24" ht="15.75" x14ac:dyDescent="0.25">
      <c r="B36" s="33">
        <f>IF(OR($Y$6,$Y$7,$Y$10,$Y$12,$Y$15)=TRUE,0,Kezdőlap!E36)</f>
        <v>12000</v>
      </c>
      <c r="C36" s="33">
        <f>IF(OR($Y$6,$Y$7,$Y$10,$Y$12,$Y$15)=TRUE,0,Kezdőlap!E36)</f>
        <v>12000</v>
      </c>
      <c r="D36" s="34">
        <f>IF(OR(Y6,Y8,Y10,Y14,Y15)=TRUE,0,Kezdőlap!E36)</f>
        <v>12000</v>
      </c>
      <c r="E36" s="34">
        <f>IF(OR(Y6,Y8,Y17,Y12,Y15,Y14)=TRUE,0,Kezdőlap!E36)</f>
        <v>12000</v>
      </c>
      <c r="F36" s="34">
        <f>IF(OR(Y6,Y12,Y15)=TRUE,0,Kezdőlap!E36)</f>
        <v>12000</v>
      </c>
      <c r="G36" s="34">
        <f>IF(OR(Y6,Y7,Y11,Y17,Y10,Y12,Y14,Y15)=TRUE,0,Kezdőlap!E36)</f>
        <v>12000</v>
      </c>
      <c r="H36" s="34">
        <f>IF(Y15=TRUE,0,Kezdőlap!E40)</f>
        <v>31500</v>
      </c>
      <c r="S36" s="219"/>
      <c r="T36" s="220"/>
      <c r="U36" s="220"/>
      <c r="V36" s="220"/>
      <c r="W36" s="220"/>
      <c r="X36" s="221"/>
    </row>
  </sheetData>
  <sheetProtection sheet="1" objects="1" scenarios="1" selectLockedCells="1"/>
  <mergeCells count="28">
    <mergeCell ref="B26:B34"/>
    <mergeCell ref="C26:C34"/>
    <mergeCell ref="D26:D34"/>
    <mergeCell ref="B25:H25"/>
    <mergeCell ref="S20:X25"/>
    <mergeCell ref="S26:X31"/>
    <mergeCell ref="E26:E34"/>
    <mergeCell ref="F26:F34"/>
    <mergeCell ref="G26:G34"/>
    <mergeCell ref="H26:H34"/>
    <mergeCell ref="J26:K32"/>
    <mergeCell ref="S33:X36"/>
    <mergeCell ref="L26:M32"/>
    <mergeCell ref="B4:M5"/>
    <mergeCell ref="B6:M6"/>
    <mergeCell ref="J25:K25"/>
    <mergeCell ref="L25:M25"/>
    <mergeCell ref="S17:X18"/>
    <mergeCell ref="O4:Q5"/>
    <mergeCell ref="O6:Q16"/>
    <mergeCell ref="S4:X5"/>
    <mergeCell ref="S6:X6"/>
    <mergeCell ref="S7:X7"/>
    <mergeCell ref="S8:X8"/>
    <mergeCell ref="S9:X10"/>
    <mergeCell ref="S11:X13"/>
    <mergeCell ref="S14:X14"/>
    <mergeCell ref="S15:X16"/>
  </mergeCells>
  <conditionalFormatting sqref="B35:H36">
    <cfRule type="containsText" dxfId="58" priority="1" operator="containsText" text="Vizsga">
      <formula>NOT(ISERROR(SEARCH("Vizsga",B35)))</formula>
    </cfRule>
  </conditionalFormatting>
  <pageMargins left="0.7" right="0.7" top="0.75" bottom="0.75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3" r:id="rId4" name="Check Box 1">
              <controlPr defaultSize="0" autoFill="0" autoLine="0" autoPict="0">
                <anchor moveWithCells="1">
                  <from>
                    <xdr:col>1</xdr:col>
                    <xdr:colOff>57150</xdr:colOff>
                    <xdr:row>9</xdr:row>
                    <xdr:rowOff>152400</xdr:rowOff>
                  </from>
                  <to>
                    <xdr:col>5</xdr:col>
                    <xdr:colOff>590550</xdr:colOff>
                    <xdr:row>11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4" r:id="rId5" name="Check Box 2">
              <controlPr defaultSize="0" autoFill="0" autoLine="0" autoPict="0">
                <anchor moveWithCells="1">
                  <from>
                    <xdr:col>1</xdr:col>
                    <xdr:colOff>57150</xdr:colOff>
                    <xdr:row>17</xdr:row>
                    <xdr:rowOff>9525</xdr:rowOff>
                  </from>
                  <to>
                    <xdr:col>7</xdr:col>
                    <xdr:colOff>485775</xdr:colOff>
                    <xdr:row>18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5" r:id="rId6" name="Check Box 3">
              <controlPr locked="0" defaultSize="0" autoFill="0" autoLine="0" autoPict="0">
                <anchor moveWithCells="1">
                  <from>
                    <xdr:col>1</xdr:col>
                    <xdr:colOff>57150</xdr:colOff>
                    <xdr:row>7</xdr:row>
                    <xdr:rowOff>47625</xdr:rowOff>
                  </from>
                  <to>
                    <xdr:col>5</xdr:col>
                    <xdr:colOff>590550</xdr:colOff>
                    <xdr:row>8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6" r:id="rId7" name="Check Box 4">
              <controlPr defaultSize="0" autoFill="0" autoLine="0" autoPict="0">
                <anchor moveWithCells="1">
                  <from>
                    <xdr:col>1</xdr:col>
                    <xdr:colOff>57150</xdr:colOff>
                    <xdr:row>19</xdr:row>
                    <xdr:rowOff>180975</xdr:rowOff>
                  </from>
                  <to>
                    <xdr:col>4</xdr:col>
                    <xdr:colOff>428625</xdr:colOff>
                    <xdr:row>21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7" r:id="rId8" name="Check Box 5">
              <controlPr defaultSize="0" autoFill="0" autoLine="0" autoPict="0">
                <anchor moveWithCells="1">
                  <from>
                    <xdr:col>1</xdr:col>
                    <xdr:colOff>57150</xdr:colOff>
                    <xdr:row>8</xdr:row>
                    <xdr:rowOff>104775</xdr:rowOff>
                  </from>
                  <to>
                    <xdr:col>5</xdr:col>
                    <xdr:colOff>590550</xdr:colOff>
                    <xdr:row>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8" r:id="rId9" name="Check Box 6">
              <controlPr defaultSize="0" autoFill="0" autoLine="0" autoPict="0">
                <anchor moveWithCells="1">
                  <from>
                    <xdr:col>1</xdr:col>
                    <xdr:colOff>57150</xdr:colOff>
                    <xdr:row>12</xdr:row>
                    <xdr:rowOff>66675</xdr:rowOff>
                  </from>
                  <to>
                    <xdr:col>4</xdr:col>
                    <xdr:colOff>314325</xdr:colOff>
                    <xdr:row>13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9" r:id="rId10" name="Check Box 7">
              <controlPr defaultSize="0" autoFill="0" autoLine="0" autoPict="0">
                <anchor moveWithCells="1">
                  <from>
                    <xdr:col>1</xdr:col>
                    <xdr:colOff>57150</xdr:colOff>
                    <xdr:row>13</xdr:row>
                    <xdr:rowOff>104775</xdr:rowOff>
                  </from>
                  <to>
                    <xdr:col>4</xdr:col>
                    <xdr:colOff>314325</xdr:colOff>
                    <xdr:row>14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0" r:id="rId11" name="Check Box 8">
              <controlPr defaultSize="0" autoFill="0" autoLine="0" autoPict="0">
                <anchor moveWithCells="1">
                  <from>
                    <xdr:col>1</xdr:col>
                    <xdr:colOff>57150</xdr:colOff>
                    <xdr:row>14</xdr:row>
                    <xdr:rowOff>133350</xdr:rowOff>
                  </from>
                  <to>
                    <xdr:col>4</xdr:col>
                    <xdr:colOff>314325</xdr:colOff>
                    <xdr:row>15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1" r:id="rId12" name="Check Box 9">
              <controlPr defaultSize="0" autoFill="0" autoLine="0" autoPict="0">
                <anchor moveWithCells="1">
                  <from>
                    <xdr:col>1</xdr:col>
                    <xdr:colOff>57150</xdr:colOff>
                    <xdr:row>18</xdr:row>
                    <xdr:rowOff>152400</xdr:rowOff>
                  </from>
                  <to>
                    <xdr:col>4</xdr:col>
                    <xdr:colOff>314325</xdr:colOff>
                    <xdr:row>19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2" r:id="rId13" name="Check Box 10">
              <controlPr defaultSize="0" autoFill="0" autoLine="0" autoPict="0">
                <anchor moveWithCells="1">
                  <from>
                    <xdr:col>1</xdr:col>
                    <xdr:colOff>57150</xdr:colOff>
                    <xdr:row>11</xdr:row>
                    <xdr:rowOff>19050</xdr:rowOff>
                  </from>
                  <to>
                    <xdr:col>5</xdr:col>
                    <xdr:colOff>590550</xdr:colOff>
                    <xdr:row>12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3" r:id="rId14" name="Check Box 11">
              <controlPr defaultSize="0" autoFill="0" autoLine="0" autoPict="0">
                <anchor moveWithCells="1">
                  <from>
                    <xdr:col>1</xdr:col>
                    <xdr:colOff>57150</xdr:colOff>
                    <xdr:row>21</xdr:row>
                    <xdr:rowOff>19050</xdr:rowOff>
                  </from>
                  <to>
                    <xdr:col>6</xdr:col>
                    <xdr:colOff>28575</xdr:colOff>
                    <xdr:row>22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4" r:id="rId15" name="Check Box 12">
              <controlPr defaultSize="0" autoFill="0" autoLine="0" autoPict="0">
                <anchor moveWithCells="1">
                  <from>
                    <xdr:col>1</xdr:col>
                    <xdr:colOff>57150</xdr:colOff>
                    <xdr:row>15</xdr:row>
                    <xdr:rowOff>171450</xdr:rowOff>
                  </from>
                  <to>
                    <xdr:col>4</xdr:col>
                    <xdr:colOff>314325</xdr:colOff>
                    <xdr:row>17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A1E016-ED9E-4755-9CC9-AAF0D15F0487}">
  <sheetPr codeName="Munka8">
    <tabColor rgb="FF00B0F0"/>
  </sheetPr>
  <dimension ref="B4:Y36"/>
  <sheetViews>
    <sheetView showGridLines="0" showRowColHeaders="0" workbookViewId="0">
      <selection activeCell="Y1" sqref="Y1:Y1048576"/>
    </sheetView>
  </sheetViews>
  <sheetFormatPr defaultRowHeight="15" x14ac:dyDescent="0.25"/>
  <cols>
    <col min="1" max="1" width="5.85546875" customWidth="1"/>
    <col min="2" max="2" width="18.7109375" customWidth="1"/>
    <col min="3" max="3" width="17.28515625" customWidth="1"/>
    <col min="4" max="4" width="16.7109375" customWidth="1"/>
    <col min="5" max="5" width="17.7109375" customWidth="1"/>
    <col min="6" max="7" width="17.42578125" bestFit="1" customWidth="1"/>
    <col min="8" max="8" width="10.5703125" bestFit="1" customWidth="1"/>
    <col min="10" max="10" width="9.5703125" bestFit="1" customWidth="1"/>
    <col min="11" max="11" width="8.42578125" bestFit="1" customWidth="1"/>
    <col min="12" max="12" width="10.42578125" bestFit="1" customWidth="1"/>
    <col min="14" max="14" width="5.28515625" customWidth="1"/>
    <col min="18" max="18" width="5" customWidth="1"/>
    <col min="25" max="25" width="6.85546875" style="66" hidden="1" customWidth="1"/>
  </cols>
  <sheetData>
    <row r="4" spans="2:25" x14ac:dyDescent="0.25">
      <c r="B4" s="248" t="s">
        <v>5</v>
      </c>
      <c r="C4" s="249"/>
      <c r="D4" s="249"/>
      <c r="E4" s="249"/>
      <c r="F4" s="249"/>
      <c r="G4" s="249"/>
      <c r="H4" s="249"/>
      <c r="I4" s="249"/>
      <c r="J4" s="249"/>
      <c r="K4" s="249"/>
      <c r="L4" s="249"/>
      <c r="M4" s="250"/>
      <c r="O4" s="149" t="s">
        <v>35</v>
      </c>
      <c r="P4" s="150"/>
      <c r="Q4" s="151"/>
      <c r="R4" s="12"/>
      <c r="S4" s="149" t="s">
        <v>65</v>
      </c>
      <c r="T4" s="150"/>
      <c r="U4" s="150"/>
      <c r="V4" s="150"/>
      <c r="W4" s="150"/>
      <c r="X4" s="151"/>
    </row>
    <row r="5" spans="2:25" x14ac:dyDescent="0.25">
      <c r="B5" s="251"/>
      <c r="C5" s="252"/>
      <c r="D5" s="252"/>
      <c r="E5" s="252"/>
      <c r="F5" s="252"/>
      <c r="G5" s="252"/>
      <c r="H5" s="252"/>
      <c r="I5" s="252"/>
      <c r="J5" s="252"/>
      <c r="K5" s="252"/>
      <c r="L5" s="252"/>
      <c r="M5" s="253"/>
      <c r="O5" s="152"/>
      <c r="P5" s="153" t="b">
        <v>0</v>
      </c>
      <c r="Q5" s="154"/>
      <c r="R5" s="12"/>
      <c r="S5" s="152"/>
      <c r="T5" s="153"/>
      <c r="U5" s="153"/>
      <c r="V5" s="153"/>
      <c r="W5" s="153"/>
      <c r="X5" s="154"/>
    </row>
    <row r="6" spans="2:25" x14ac:dyDescent="0.25">
      <c r="B6" s="254" t="s">
        <v>64</v>
      </c>
      <c r="C6" s="255"/>
      <c r="D6" s="255"/>
      <c r="E6" s="255"/>
      <c r="F6" s="255"/>
      <c r="G6" s="255"/>
      <c r="H6" s="255"/>
      <c r="I6" s="255"/>
      <c r="J6" s="255"/>
      <c r="K6" s="255"/>
      <c r="L6" s="255"/>
      <c r="M6" s="256"/>
      <c r="O6" s="259" t="str">
        <f>IF(OR(Y7,Y10,Y15)=TRUE,"Nem kell további gyakorlati időt igazolni !",IF(OR(Y9,Y8)=TRUE," 6 hónap szolgálati célú vagy hivatásos fedélzeti szolgálat",IF(Y13=TRUE,"12 hónap fedélzeti szolgálatban eltöltött hajózási gyakorlat",IF(Y16=TRUE,"Szolgálati kisgéphajón szerzett 12 havi hajóvezetői gyakorlat, amelyet a hajózási hatóság igazol, vagy 14 hónap szolgálati célú vagy hivatásos fedélzeti szolgálat","Fedélzeti szolgálatban eltöltött 14 havi - átkelőjáratban közlekedő hajón vagy vitorlás kishajón szerzett 10 havi - hajózási gyakorlat"))))</f>
        <v>Fedélzeti szolgálatban eltöltött 14 havi - átkelőjáratban közlekedő hajón vagy vitorlás kishajón szerzett 10 havi - hajózási gyakorlat</v>
      </c>
      <c r="P6" s="259"/>
      <c r="Q6" s="259"/>
      <c r="S6" s="148" t="str">
        <f>IF(J26&gt;0,"Írásos vizsgajelentkezési/felmentési kérelem","Okmányigénylés és fotó benyújtása")</f>
        <v>Írásos vizsgajelentkezési/felmentési kérelem</v>
      </c>
      <c r="T6" s="148"/>
      <c r="U6" s="148"/>
      <c r="V6" s="148"/>
      <c r="W6" s="148"/>
      <c r="X6" s="148"/>
      <c r="Y6" s="66" t="b">
        <v>0</v>
      </c>
    </row>
    <row r="7" spans="2:25" x14ac:dyDescent="0.25">
      <c r="B7" s="13"/>
      <c r="C7" s="14"/>
      <c r="D7" s="14"/>
      <c r="E7" s="14"/>
      <c r="F7" s="14"/>
      <c r="G7" s="14"/>
      <c r="H7" s="14"/>
      <c r="I7" s="14"/>
      <c r="J7" s="14"/>
      <c r="K7" s="14"/>
      <c r="L7" s="14"/>
      <c r="M7" s="15"/>
      <c r="O7" s="259"/>
      <c r="P7" s="259"/>
      <c r="Q7" s="259"/>
      <c r="S7" s="148" t="s">
        <v>55</v>
      </c>
      <c r="T7" s="148"/>
      <c r="U7" s="148"/>
      <c r="V7" s="148"/>
      <c r="W7" s="148"/>
      <c r="X7" s="148"/>
      <c r="Y7" s="66" t="b">
        <v>0</v>
      </c>
    </row>
    <row r="8" spans="2:25" x14ac:dyDescent="0.25">
      <c r="B8" s="6"/>
      <c r="C8" s="7"/>
      <c r="D8" s="7"/>
      <c r="E8" s="7"/>
      <c r="F8" s="7"/>
      <c r="G8" s="7"/>
      <c r="H8" s="7"/>
      <c r="I8" s="7"/>
      <c r="J8" s="7"/>
      <c r="K8" s="7"/>
      <c r="L8" s="7"/>
      <c r="M8" s="8"/>
      <c r="O8" s="259"/>
      <c r="P8" s="259"/>
      <c r="Q8" s="259"/>
      <c r="S8" s="148" t="s">
        <v>73</v>
      </c>
      <c r="T8" s="148"/>
      <c r="U8" s="148"/>
      <c r="V8" s="148"/>
      <c r="W8" s="148"/>
      <c r="X8" s="148"/>
      <c r="Y8" s="66" t="b">
        <v>0</v>
      </c>
    </row>
    <row r="9" spans="2:25" x14ac:dyDescent="0.25">
      <c r="B9" s="6"/>
      <c r="C9" s="7"/>
      <c r="D9" s="7"/>
      <c r="E9" s="7"/>
      <c r="F9" s="7"/>
      <c r="G9" s="7"/>
      <c r="H9" s="7"/>
      <c r="I9" s="7"/>
      <c r="J9" s="7"/>
      <c r="K9" s="7"/>
      <c r="L9" s="7"/>
      <c r="M9" s="8"/>
      <c r="O9" s="259"/>
      <c r="P9" s="259"/>
      <c r="Q9" s="259"/>
      <c r="S9" s="257" t="s">
        <v>74</v>
      </c>
      <c r="T9" s="257"/>
      <c r="U9" s="257"/>
      <c r="V9" s="257"/>
      <c r="W9" s="257"/>
      <c r="X9" s="257"/>
      <c r="Y9" s="66" t="b">
        <v>0</v>
      </c>
    </row>
    <row r="10" spans="2:25" x14ac:dyDescent="0.25">
      <c r="B10" s="6"/>
      <c r="C10" s="7"/>
      <c r="D10" s="7"/>
      <c r="E10" s="7"/>
      <c r="F10" s="7"/>
      <c r="G10" s="7"/>
      <c r="H10" s="7"/>
      <c r="I10" s="7"/>
      <c r="J10" s="7"/>
      <c r="K10" s="7"/>
      <c r="L10" s="7"/>
      <c r="M10" s="8"/>
      <c r="O10" s="259"/>
      <c r="P10" s="259"/>
      <c r="Q10" s="259"/>
      <c r="S10" s="257"/>
      <c r="T10" s="257"/>
      <c r="U10" s="257"/>
      <c r="V10" s="257"/>
      <c r="W10" s="257"/>
      <c r="X10" s="257"/>
      <c r="Y10" s="66" t="b">
        <v>0</v>
      </c>
    </row>
    <row r="11" spans="2:25" x14ac:dyDescent="0.25">
      <c r="B11" s="6"/>
      <c r="C11" s="7"/>
      <c r="D11" s="7"/>
      <c r="E11" s="7"/>
      <c r="F11" s="7"/>
      <c r="G11" s="7"/>
      <c r="H11" s="7"/>
      <c r="I11" s="7"/>
      <c r="J11" s="7"/>
      <c r="K11" s="7"/>
      <c r="L11" s="7"/>
      <c r="M11" s="8"/>
      <c r="O11" s="259"/>
      <c r="P11" s="259"/>
      <c r="Q11" s="259"/>
      <c r="S11" s="257" t="str">
        <f>IF(J26=0,"",IF(Y13=TRUE,"Képesítés, bizonyítvány, oklevél bemutatása","A vizsgatárgyakat tartalmazó, jóváhagyott képzésen való részvétel igazolása"))</f>
        <v>A vizsgatárgyakat tartalmazó, jóváhagyott képzésen való részvétel igazolása</v>
      </c>
      <c r="T11" s="257"/>
      <c r="U11" s="257"/>
      <c r="V11" s="257"/>
      <c r="W11" s="257"/>
      <c r="X11" s="257"/>
      <c r="Y11" s="66" t="b">
        <v>0</v>
      </c>
    </row>
    <row r="12" spans="2:25" x14ac:dyDescent="0.25">
      <c r="B12" s="6"/>
      <c r="C12" s="7"/>
      <c r="D12" s="7"/>
      <c r="E12" s="7"/>
      <c r="F12" s="7"/>
      <c r="G12" s="7"/>
      <c r="H12" s="7"/>
      <c r="I12" s="7"/>
      <c r="J12" s="7"/>
      <c r="K12" s="7"/>
      <c r="L12" s="7"/>
      <c r="M12" s="8"/>
      <c r="O12" s="259"/>
      <c r="P12" s="259"/>
      <c r="Q12" s="259"/>
      <c r="S12" s="257"/>
      <c r="T12" s="257"/>
      <c r="U12" s="257"/>
      <c r="V12" s="257"/>
      <c r="W12" s="257"/>
      <c r="X12" s="257"/>
      <c r="Y12" s="66" t="b">
        <v>0</v>
      </c>
    </row>
    <row r="13" spans="2:25" x14ac:dyDescent="0.25">
      <c r="B13" s="6"/>
      <c r="C13" s="7"/>
      <c r="D13" s="7"/>
      <c r="E13" s="7"/>
      <c r="F13" s="7"/>
      <c r="G13" s="7"/>
      <c r="H13" s="7"/>
      <c r="I13" s="7"/>
      <c r="J13" s="7"/>
      <c r="K13" s="7"/>
      <c r="L13" s="7"/>
      <c r="M13" s="8"/>
      <c r="O13" s="259"/>
      <c r="P13" s="259"/>
      <c r="Q13" s="259"/>
      <c r="S13" s="257"/>
      <c r="T13" s="257"/>
      <c r="U13" s="257"/>
      <c r="V13" s="257"/>
      <c r="W13" s="257"/>
      <c r="X13" s="257"/>
      <c r="Y13" s="66" t="b">
        <v>0</v>
      </c>
    </row>
    <row r="14" spans="2:25" x14ac:dyDescent="0.25">
      <c r="B14" s="6"/>
      <c r="C14" s="7"/>
      <c r="D14" s="7"/>
      <c r="E14" s="7"/>
      <c r="F14" s="7"/>
      <c r="G14" s="7"/>
      <c r="H14" s="7"/>
      <c r="I14" s="7"/>
      <c r="J14" s="7"/>
      <c r="K14" s="7"/>
      <c r="L14" s="7"/>
      <c r="M14" s="8"/>
      <c r="O14" s="259"/>
      <c r="P14" s="259" t="b">
        <v>0</v>
      </c>
      <c r="Q14" s="259"/>
      <c r="S14" s="148" t="s">
        <v>75</v>
      </c>
      <c r="T14" s="148"/>
      <c r="U14" s="148"/>
      <c r="V14" s="148"/>
      <c r="W14" s="148"/>
      <c r="X14" s="148"/>
      <c r="Y14" s="66" t="b">
        <v>0</v>
      </c>
    </row>
    <row r="15" spans="2:25" x14ac:dyDescent="0.25">
      <c r="B15" s="6"/>
      <c r="C15" s="7"/>
      <c r="D15" s="7"/>
      <c r="E15" s="7"/>
      <c r="F15" s="7"/>
      <c r="G15" s="7"/>
      <c r="H15" s="7"/>
      <c r="I15" s="7"/>
      <c r="J15" s="7"/>
      <c r="K15" s="7"/>
      <c r="L15" s="7"/>
      <c r="M15" s="8"/>
      <c r="O15" s="259"/>
      <c r="P15" s="259"/>
      <c r="Q15" s="259"/>
      <c r="S15" s="257" t="str">
        <f>IF(OR(Y13,Y17)=TRUE,"Felmentési kérelemhez: képesítő okmány,vizsgajegyzőkönyv, leckekönyv vagy tanterv","")</f>
        <v/>
      </c>
      <c r="T15" s="257"/>
      <c r="U15" s="257"/>
      <c r="V15" s="257"/>
      <c r="W15" s="257"/>
      <c r="X15" s="257"/>
      <c r="Y15" s="66" t="b">
        <v>0</v>
      </c>
    </row>
    <row r="16" spans="2:25" x14ac:dyDescent="0.25">
      <c r="B16" s="6"/>
      <c r="C16" s="7"/>
      <c r="D16" s="7"/>
      <c r="E16" s="7"/>
      <c r="F16" s="7"/>
      <c r="G16" s="7"/>
      <c r="H16" s="7"/>
      <c r="I16" s="7"/>
      <c r="J16" s="7"/>
      <c r="K16" s="7"/>
      <c r="L16" s="7"/>
      <c r="M16" s="8"/>
      <c r="O16" s="259"/>
      <c r="P16" s="259"/>
      <c r="Q16" s="259"/>
      <c r="S16" s="257"/>
      <c r="T16" s="257"/>
      <c r="U16" s="257"/>
      <c r="V16" s="257"/>
      <c r="W16" s="257"/>
      <c r="X16" s="257"/>
      <c r="Y16" s="66" t="b">
        <v>0</v>
      </c>
    </row>
    <row r="17" spans="2:25" x14ac:dyDescent="0.25">
      <c r="B17" s="6"/>
      <c r="C17" s="7"/>
      <c r="D17" s="7"/>
      <c r="E17" s="7"/>
      <c r="F17" s="7"/>
      <c r="G17" s="7"/>
      <c r="H17" s="7"/>
      <c r="I17" s="7"/>
      <c r="J17" s="7"/>
      <c r="K17" s="7"/>
      <c r="L17" s="7"/>
      <c r="M17" s="8"/>
      <c r="O17" s="259"/>
      <c r="P17" s="259"/>
      <c r="Q17" s="259"/>
      <c r="S17" s="148" t="str">
        <f>IF(OR(Y16,Y6,Y7,Y8,Y9,Y10,Y11,Y12,Y13,Y14,Y17,Y15,Y18)=TRUE,"","Legalább alapfokú iskolai végzettség igazolása")</f>
        <v>Legalább alapfokú iskolai végzettség igazolása</v>
      </c>
      <c r="T17" s="148"/>
      <c r="U17" s="148"/>
      <c r="V17" s="148"/>
      <c r="W17" s="148"/>
      <c r="X17" s="148"/>
      <c r="Y17" s="66" t="b">
        <v>0</v>
      </c>
    </row>
    <row r="18" spans="2:25" x14ac:dyDescent="0.25">
      <c r="B18" s="6"/>
      <c r="C18" s="7"/>
      <c r="D18" s="7"/>
      <c r="E18" s="7"/>
      <c r="F18" s="7"/>
      <c r="G18" s="7"/>
      <c r="H18" s="7"/>
      <c r="I18" s="7"/>
      <c r="J18" s="7"/>
      <c r="K18" s="7"/>
      <c r="L18" s="7"/>
      <c r="M18" s="8"/>
      <c r="O18" s="259"/>
      <c r="P18" s="259"/>
      <c r="Q18" s="259"/>
      <c r="S18" s="148"/>
      <c r="T18" s="148"/>
      <c r="U18" s="148"/>
      <c r="V18" s="148"/>
      <c r="W18" s="148"/>
      <c r="X18" s="148"/>
      <c r="Y18" s="66" t="b">
        <v>0</v>
      </c>
    </row>
    <row r="19" spans="2:25" x14ac:dyDescent="0.25">
      <c r="B19" s="6"/>
      <c r="C19" s="7"/>
      <c r="D19" s="7"/>
      <c r="E19" s="7"/>
      <c r="F19" s="7"/>
      <c r="G19" s="7"/>
      <c r="H19" s="7"/>
      <c r="I19" s="7"/>
      <c r="J19" s="7"/>
      <c r="K19" s="7"/>
      <c r="L19" s="7"/>
      <c r="M19" s="8"/>
      <c r="O19" s="259"/>
      <c r="P19" s="259"/>
      <c r="Q19" s="259"/>
      <c r="S19" s="45"/>
      <c r="T19" s="45"/>
      <c r="U19" s="45"/>
      <c r="V19" s="45"/>
      <c r="W19" s="45"/>
      <c r="X19" s="45"/>
    </row>
    <row r="20" spans="2:25" x14ac:dyDescent="0.25">
      <c r="B20" s="6"/>
      <c r="C20" s="7"/>
      <c r="D20" s="7"/>
      <c r="E20" s="7"/>
      <c r="F20" s="7"/>
      <c r="G20" s="7"/>
      <c r="H20" s="7"/>
      <c r="I20" s="7"/>
      <c r="J20" s="7"/>
      <c r="K20" s="7"/>
      <c r="L20" s="7"/>
      <c r="M20" s="8"/>
      <c r="S20" s="155" t="str">
        <f>IF(Y13=TRUE,"Hajózási szakképzésben szerzett képesítő bizonyítványként azt a képesítő okmányt lehet elfogadni, amelyet olyan oktatási intézmény adott ki, amelynek tanterve a hajózási hatóság által jóváhagyott szakmai oktatási programot tartalmazza","")</f>
        <v/>
      </c>
      <c r="T20" s="156"/>
      <c r="U20" s="156"/>
      <c r="V20" s="156"/>
      <c r="W20" s="156"/>
      <c r="X20" s="157"/>
    </row>
    <row r="21" spans="2:25" x14ac:dyDescent="0.25">
      <c r="B21" s="6"/>
      <c r="C21" s="7"/>
      <c r="D21" s="7"/>
      <c r="E21" s="7"/>
      <c r="F21" s="7"/>
      <c r="G21" s="7"/>
      <c r="H21" s="7"/>
      <c r="I21" s="7"/>
      <c r="J21" s="7"/>
      <c r="K21" s="7"/>
      <c r="L21" s="7"/>
      <c r="M21" s="8"/>
      <c r="S21" s="158"/>
      <c r="T21" s="159"/>
      <c r="U21" s="159"/>
      <c r="V21" s="159"/>
      <c r="W21" s="159"/>
      <c r="X21" s="160"/>
    </row>
    <row r="22" spans="2:25" x14ac:dyDescent="0.25">
      <c r="B22" s="6"/>
      <c r="C22" s="7"/>
      <c r="D22" s="7"/>
      <c r="E22" s="7"/>
      <c r="F22" s="7"/>
      <c r="G22" s="7"/>
      <c r="H22" s="7"/>
      <c r="I22" s="7"/>
      <c r="J22" s="7"/>
      <c r="K22" s="7"/>
      <c r="L22" s="7"/>
      <c r="M22" s="8"/>
      <c r="S22" s="158"/>
      <c r="T22" s="159"/>
      <c r="U22" s="159"/>
      <c r="V22" s="159"/>
      <c r="W22" s="159"/>
      <c r="X22" s="160"/>
    </row>
    <row r="23" spans="2:25" x14ac:dyDescent="0.25">
      <c r="B23" s="9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1"/>
      <c r="S23" s="158"/>
      <c r="T23" s="159"/>
      <c r="U23" s="159"/>
      <c r="V23" s="159"/>
      <c r="W23" s="159"/>
      <c r="X23" s="160"/>
    </row>
    <row r="24" spans="2:25" x14ac:dyDescent="0.25">
      <c r="S24" s="158"/>
      <c r="T24" s="159"/>
      <c r="U24" s="159"/>
      <c r="V24" s="159"/>
      <c r="W24" s="159"/>
      <c r="X24" s="160"/>
    </row>
    <row r="25" spans="2:25" ht="15.75" x14ac:dyDescent="0.25">
      <c r="B25" s="125" t="s">
        <v>37</v>
      </c>
      <c r="C25" s="125"/>
      <c r="D25" s="125"/>
      <c r="E25" s="125"/>
      <c r="F25" s="125"/>
      <c r="G25" s="125"/>
      <c r="H25" s="125"/>
      <c r="I25" s="1"/>
      <c r="J25" s="125" t="s">
        <v>43</v>
      </c>
      <c r="K25" s="125"/>
      <c r="L25" s="125" t="s">
        <v>78</v>
      </c>
      <c r="M25" s="125"/>
      <c r="S25" s="161"/>
      <c r="T25" s="162"/>
      <c r="U25" s="162"/>
      <c r="V25" s="162"/>
      <c r="W25" s="162"/>
      <c r="X25" s="163"/>
    </row>
    <row r="26" spans="2:25" ht="15.75" customHeight="1" x14ac:dyDescent="0.25">
      <c r="B26" s="129" t="s">
        <v>66</v>
      </c>
      <c r="C26" s="129" t="s">
        <v>67</v>
      </c>
      <c r="D26" s="129" t="s">
        <v>68</v>
      </c>
      <c r="E26" s="129" t="s">
        <v>69</v>
      </c>
      <c r="F26" s="129" t="s">
        <v>70</v>
      </c>
      <c r="G26" s="129" t="s">
        <v>71</v>
      </c>
      <c r="H26" s="129" t="s">
        <v>72</v>
      </c>
      <c r="I26" s="1"/>
      <c r="J26" s="258">
        <f>SUM(B36:H36)</f>
        <v>103500</v>
      </c>
      <c r="K26" s="258"/>
      <c r="L26" s="131">
        <f>Kezdőlap!E41</f>
        <v>7300</v>
      </c>
      <c r="M26" s="131"/>
      <c r="S26" s="257" t="s">
        <v>76</v>
      </c>
      <c r="T26" s="257"/>
      <c r="U26" s="257"/>
      <c r="V26" s="257"/>
      <c r="W26" s="257"/>
      <c r="X26" s="257"/>
    </row>
    <row r="27" spans="2:25" ht="15.75" x14ac:dyDescent="0.25">
      <c r="B27" s="129"/>
      <c r="C27" s="129"/>
      <c r="D27" s="129"/>
      <c r="E27" s="129"/>
      <c r="F27" s="129"/>
      <c r="G27" s="129"/>
      <c r="H27" s="129"/>
      <c r="I27" s="1"/>
      <c r="J27" s="258"/>
      <c r="K27" s="258"/>
      <c r="L27" s="131"/>
      <c r="M27" s="131"/>
      <c r="S27" s="257"/>
      <c r="T27" s="257"/>
      <c r="U27" s="257"/>
      <c r="V27" s="257"/>
      <c r="W27" s="257"/>
      <c r="X27" s="257"/>
    </row>
    <row r="28" spans="2:25" ht="15.75" x14ac:dyDescent="0.25">
      <c r="B28" s="129"/>
      <c r="C28" s="129"/>
      <c r="D28" s="129"/>
      <c r="E28" s="129"/>
      <c r="F28" s="129"/>
      <c r="G28" s="129"/>
      <c r="H28" s="129"/>
      <c r="I28" s="17"/>
      <c r="J28" s="258"/>
      <c r="K28" s="258"/>
      <c r="L28" s="131"/>
      <c r="M28" s="131"/>
      <c r="S28" s="257"/>
      <c r="T28" s="257"/>
      <c r="U28" s="257"/>
      <c r="V28" s="257"/>
      <c r="W28" s="257"/>
      <c r="X28" s="257"/>
    </row>
    <row r="29" spans="2:25" x14ac:dyDescent="0.25">
      <c r="B29" s="129"/>
      <c r="C29" s="129"/>
      <c r="D29" s="129"/>
      <c r="E29" s="129"/>
      <c r="F29" s="129"/>
      <c r="G29" s="129"/>
      <c r="H29" s="129"/>
      <c r="J29" s="258"/>
      <c r="K29" s="258"/>
      <c r="L29" s="131"/>
      <c r="M29" s="131"/>
      <c r="S29" s="257"/>
      <c r="T29" s="257"/>
      <c r="U29" s="257"/>
      <c r="V29" s="257"/>
      <c r="W29" s="257"/>
      <c r="X29" s="257"/>
    </row>
    <row r="30" spans="2:25" x14ac:dyDescent="0.25">
      <c r="B30" s="129"/>
      <c r="C30" s="129"/>
      <c r="D30" s="129"/>
      <c r="E30" s="129"/>
      <c r="F30" s="129"/>
      <c r="G30" s="129"/>
      <c r="H30" s="129"/>
      <c r="J30" s="258"/>
      <c r="K30" s="258"/>
      <c r="L30" s="131"/>
      <c r="M30" s="131"/>
      <c r="S30" s="257"/>
      <c r="T30" s="257"/>
      <c r="U30" s="257"/>
      <c r="V30" s="257"/>
      <c r="W30" s="257"/>
      <c r="X30" s="257"/>
    </row>
    <row r="31" spans="2:25" x14ac:dyDescent="0.25">
      <c r="B31" s="129"/>
      <c r="C31" s="129"/>
      <c r="D31" s="129"/>
      <c r="E31" s="129"/>
      <c r="F31" s="129"/>
      <c r="G31" s="129"/>
      <c r="H31" s="129"/>
      <c r="J31" s="258"/>
      <c r="K31" s="258"/>
      <c r="L31" s="131"/>
      <c r="M31" s="131"/>
      <c r="S31" s="257"/>
      <c r="T31" s="257"/>
      <c r="U31" s="257"/>
      <c r="V31" s="257"/>
      <c r="W31" s="257"/>
      <c r="X31" s="257"/>
    </row>
    <row r="32" spans="2:25" x14ac:dyDescent="0.25">
      <c r="B32" s="129"/>
      <c r="C32" s="129"/>
      <c r="D32" s="129"/>
      <c r="E32" s="129"/>
      <c r="F32" s="129"/>
      <c r="G32" s="129"/>
      <c r="H32" s="129"/>
      <c r="J32" s="258"/>
      <c r="K32" s="258"/>
      <c r="L32" s="131"/>
      <c r="M32" s="131"/>
    </row>
    <row r="33" spans="2:24" ht="15" customHeight="1" x14ac:dyDescent="0.25">
      <c r="B33" s="129"/>
      <c r="C33" s="129"/>
      <c r="D33" s="129"/>
      <c r="E33" s="129"/>
      <c r="F33" s="129"/>
      <c r="G33" s="129"/>
      <c r="H33" s="129"/>
      <c r="S33" s="213" t="s">
        <v>279</v>
      </c>
      <c r="T33" s="214"/>
      <c r="U33" s="214"/>
      <c r="V33" s="214"/>
      <c r="W33" s="214"/>
      <c r="X33" s="215"/>
    </row>
    <row r="34" spans="2:24" x14ac:dyDescent="0.25">
      <c r="B34" s="129"/>
      <c r="C34" s="129"/>
      <c r="D34" s="129"/>
      <c r="E34" s="129"/>
      <c r="F34" s="129"/>
      <c r="G34" s="129"/>
      <c r="H34" s="129"/>
      <c r="S34" s="216"/>
      <c r="T34" s="217"/>
      <c r="U34" s="217"/>
      <c r="V34" s="217"/>
      <c r="W34" s="217"/>
      <c r="X34" s="218"/>
    </row>
    <row r="35" spans="2:24" ht="15.75" x14ac:dyDescent="0.25">
      <c r="B35" s="16" t="str">
        <f>IF(B36=0,"Felmentés",IF(OR($Y$17,$Y$13)=TRUE,"Felmentés/vizsga","Vizsga"))</f>
        <v>Vizsga</v>
      </c>
      <c r="C35" s="16" t="str">
        <f>IF(C36=0,"Felmentés",IF(OR(Y17,Y13)=TRUE,"Felmentés/vizsga","Vizsga"))</f>
        <v>Vizsga</v>
      </c>
      <c r="D35" s="16" t="str">
        <f>IF(D36=0,"Felmentés",IF(OR(Y17,Y13)=TRUE,"Felmentés/vizsga","Vizsga"))</f>
        <v>Vizsga</v>
      </c>
      <c r="E35" s="16" t="str">
        <f>IF(E36=0,"Felmentés",IF(OR(Y17,Y13)=TRUE,"Felmentés/vizsga","Vizsga"))</f>
        <v>Vizsga</v>
      </c>
      <c r="F35" s="16" t="str">
        <f>IF(F36=0,"Felmentés",IF(OR(Y17,Y13)=TRUE,"Felmentés/vizsga","Vizsga"))</f>
        <v>Vizsga</v>
      </c>
      <c r="G35" s="16" t="str">
        <f>IF(G36=0,"Felmentés",IF(OR(Y17,Y13)=TRUE,"Felmentés/vizsga","Vizsga"))</f>
        <v>Vizsga</v>
      </c>
      <c r="H35" s="16" t="str">
        <f>IF(H36&lt;&gt;0,"Vizsga","Felmentés")</f>
        <v>Vizsga</v>
      </c>
      <c r="S35" s="216"/>
      <c r="T35" s="217"/>
      <c r="U35" s="217"/>
      <c r="V35" s="217"/>
      <c r="W35" s="217"/>
      <c r="X35" s="218"/>
    </row>
    <row r="36" spans="2:24" ht="15.75" x14ac:dyDescent="0.25">
      <c r="B36" s="33">
        <f>IF(OR(Y6,Y7,Y10,Y12,Y15,Y16)=TRUE,0,Kezdőlap!E36)</f>
        <v>12000</v>
      </c>
      <c r="C36" s="33">
        <f>IF(OR(Y6,Y7,Y10,Y12,Y15,Y16)=TRUE,0,Kezdőlap!E36)</f>
        <v>12000</v>
      </c>
      <c r="D36" s="34">
        <f>IF(OR(Y6,Y8,Y10,Y14,Y15,Y16)=TRUE,0,Kezdőlap!E36)</f>
        <v>12000</v>
      </c>
      <c r="E36" s="34">
        <f>IF(OR(Y6,Y8,Y12,Y14,Y15,Y16,Y18)=TRUE,0,Kezdőlap!E36)</f>
        <v>12000</v>
      </c>
      <c r="F36" s="34">
        <f>IF(OR(Y6,Y12,Y15,Y16)=TRUE,0,Kezdőlap!E36)</f>
        <v>12000</v>
      </c>
      <c r="G36" s="34">
        <f>IF(OR(Y6,Y7,Y10,Y11,Y12,Y14,Y15,Y16,Y18)=TRUE,0,Kezdőlap!E36)</f>
        <v>12000</v>
      </c>
      <c r="H36" s="34">
        <f>IF(OR(Y16,Y15)=TRUE,0,Kezdőlap!E40)</f>
        <v>31500</v>
      </c>
      <c r="S36" s="219"/>
      <c r="T36" s="220"/>
      <c r="U36" s="220"/>
      <c r="V36" s="220"/>
      <c r="W36" s="220"/>
      <c r="X36" s="221"/>
    </row>
  </sheetData>
  <sheetProtection sheet="1" objects="1" scenarios="1" selectLockedCells="1"/>
  <mergeCells count="28">
    <mergeCell ref="B26:B34"/>
    <mergeCell ref="S17:X18"/>
    <mergeCell ref="S20:X25"/>
    <mergeCell ref="B25:H25"/>
    <mergeCell ref="O6:Q19"/>
    <mergeCell ref="S7:X7"/>
    <mergeCell ref="S8:X8"/>
    <mergeCell ref="S9:X10"/>
    <mergeCell ref="S11:X13"/>
    <mergeCell ref="S26:X31"/>
    <mergeCell ref="S33:X36"/>
    <mergeCell ref="G26:G34"/>
    <mergeCell ref="H26:H34"/>
    <mergeCell ref="J26:K32"/>
    <mergeCell ref="S14:X14"/>
    <mergeCell ref="S15:X16"/>
    <mergeCell ref="B4:M5"/>
    <mergeCell ref="O4:Q5"/>
    <mergeCell ref="S4:X5"/>
    <mergeCell ref="B6:M6"/>
    <mergeCell ref="S6:X6"/>
    <mergeCell ref="L25:M25"/>
    <mergeCell ref="L26:M32"/>
    <mergeCell ref="J25:K25"/>
    <mergeCell ref="C26:C34"/>
    <mergeCell ref="D26:D34"/>
    <mergeCell ref="E26:E34"/>
    <mergeCell ref="F26:F34"/>
  </mergeCells>
  <conditionalFormatting sqref="B35:H35">
    <cfRule type="containsText" dxfId="57" priority="1" operator="containsText" text="Vizsga">
      <formula>NOT(ISERROR(SEARCH("Vizsga",B35)))</formula>
    </cfRule>
  </conditionalFormatting>
  <pageMargins left="0.7" right="0.7" top="0.75" bottom="0.75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9217" r:id="rId4" name="Check Box 1">
              <controlPr defaultSize="0" autoFill="0" autoLine="0" autoPict="0">
                <anchor moveWithCells="1">
                  <from>
                    <xdr:col>1</xdr:col>
                    <xdr:colOff>66675</xdr:colOff>
                    <xdr:row>8</xdr:row>
                    <xdr:rowOff>171450</xdr:rowOff>
                  </from>
                  <to>
                    <xdr:col>5</xdr:col>
                    <xdr:colOff>600075</xdr:colOff>
                    <xdr:row>10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18" r:id="rId5" name="Check Box 2">
              <controlPr defaultSize="0" autoFill="0" autoLine="0" autoPict="0">
                <anchor moveWithCells="1">
                  <from>
                    <xdr:col>1</xdr:col>
                    <xdr:colOff>66675</xdr:colOff>
                    <xdr:row>16</xdr:row>
                    <xdr:rowOff>0</xdr:rowOff>
                  </from>
                  <to>
                    <xdr:col>7</xdr:col>
                    <xdr:colOff>428625</xdr:colOff>
                    <xdr:row>17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19" r:id="rId6" name="Check Box 3">
              <controlPr locked="0" defaultSize="0" autoFill="0" autoLine="0" autoPict="0">
                <anchor moveWithCells="1">
                  <from>
                    <xdr:col>1</xdr:col>
                    <xdr:colOff>66675</xdr:colOff>
                    <xdr:row>6</xdr:row>
                    <xdr:rowOff>95250</xdr:rowOff>
                  </from>
                  <to>
                    <xdr:col>5</xdr:col>
                    <xdr:colOff>600075</xdr:colOff>
                    <xdr:row>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20" r:id="rId7" name="Check Box 4">
              <controlPr defaultSize="0" autoFill="0" autoLine="0" autoPict="0">
                <anchor moveWithCells="1">
                  <from>
                    <xdr:col>1</xdr:col>
                    <xdr:colOff>66675</xdr:colOff>
                    <xdr:row>18</xdr:row>
                    <xdr:rowOff>180975</xdr:rowOff>
                  </from>
                  <to>
                    <xdr:col>4</xdr:col>
                    <xdr:colOff>485775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21" r:id="rId8" name="Check Box 5">
              <controlPr defaultSize="0" autoFill="0" autoLine="0" autoPict="0">
                <anchor moveWithCells="1">
                  <from>
                    <xdr:col>1</xdr:col>
                    <xdr:colOff>66675</xdr:colOff>
                    <xdr:row>7</xdr:row>
                    <xdr:rowOff>133350</xdr:rowOff>
                  </from>
                  <to>
                    <xdr:col>5</xdr:col>
                    <xdr:colOff>600075</xdr:colOff>
                    <xdr:row>8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22" r:id="rId9" name="Check Box 6">
              <controlPr defaultSize="0" autoFill="0" autoLine="0" autoPict="0">
                <anchor moveWithCells="1">
                  <from>
                    <xdr:col>1</xdr:col>
                    <xdr:colOff>66675</xdr:colOff>
                    <xdr:row>11</xdr:row>
                    <xdr:rowOff>47625</xdr:rowOff>
                  </from>
                  <to>
                    <xdr:col>4</xdr:col>
                    <xdr:colOff>371475</xdr:colOff>
                    <xdr:row>12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23" r:id="rId10" name="Check Box 7">
              <controlPr defaultSize="0" autoFill="0" autoLine="0" autoPict="0">
                <anchor moveWithCells="1">
                  <from>
                    <xdr:col>1</xdr:col>
                    <xdr:colOff>66675</xdr:colOff>
                    <xdr:row>12</xdr:row>
                    <xdr:rowOff>76200</xdr:rowOff>
                  </from>
                  <to>
                    <xdr:col>4</xdr:col>
                    <xdr:colOff>371475</xdr:colOff>
                    <xdr:row>13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24" r:id="rId11" name="Check Box 8">
              <controlPr defaultSize="0" autoFill="0" autoLine="0" autoPict="0">
                <anchor moveWithCells="1">
                  <from>
                    <xdr:col>1</xdr:col>
                    <xdr:colOff>66675</xdr:colOff>
                    <xdr:row>13</xdr:row>
                    <xdr:rowOff>123825</xdr:rowOff>
                  </from>
                  <to>
                    <xdr:col>4</xdr:col>
                    <xdr:colOff>371475</xdr:colOff>
                    <xdr:row>14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25" r:id="rId12" name="Check Box 9">
              <controlPr defaultSize="0" autoFill="0" autoLine="0" autoPict="0">
                <anchor moveWithCells="1">
                  <from>
                    <xdr:col>1</xdr:col>
                    <xdr:colOff>66675</xdr:colOff>
                    <xdr:row>17</xdr:row>
                    <xdr:rowOff>114300</xdr:rowOff>
                  </from>
                  <to>
                    <xdr:col>4</xdr:col>
                    <xdr:colOff>371475</xdr:colOff>
                    <xdr:row>18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26" r:id="rId13" name="Check Box 10">
              <controlPr defaultSize="0" autoFill="0" autoLine="0" autoPict="0">
                <anchor moveWithCells="1">
                  <from>
                    <xdr:col>1</xdr:col>
                    <xdr:colOff>66675</xdr:colOff>
                    <xdr:row>10</xdr:row>
                    <xdr:rowOff>9525</xdr:rowOff>
                  </from>
                  <to>
                    <xdr:col>5</xdr:col>
                    <xdr:colOff>600075</xdr:colOff>
                    <xdr:row>11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27" r:id="rId14" name="Check Box 11">
              <controlPr defaultSize="0" autoFill="0" autoLine="0" autoPict="0">
                <anchor moveWithCells="1">
                  <from>
                    <xdr:col>1</xdr:col>
                    <xdr:colOff>66675</xdr:colOff>
                    <xdr:row>20</xdr:row>
                    <xdr:rowOff>28575</xdr:rowOff>
                  </from>
                  <to>
                    <xdr:col>6</xdr:col>
                    <xdr:colOff>0</xdr:colOff>
                    <xdr:row>21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28" r:id="rId15" name="Check Box 12">
              <controlPr defaultSize="0" autoFill="0" autoLine="0" autoPict="0">
                <anchor moveWithCells="1">
                  <from>
                    <xdr:col>1</xdr:col>
                    <xdr:colOff>66675</xdr:colOff>
                    <xdr:row>14</xdr:row>
                    <xdr:rowOff>171450</xdr:rowOff>
                  </from>
                  <to>
                    <xdr:col>4</xdr:col>
                    <xdr:colOff>371475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29" r:id="rId16" name="Check Box 13">
              <controlPr defaultSize="0" autoFill="0" autoLine="0" autoPict="0">
                <anchor moveWithCells="1">
                  <from>
                    <xdr:col>1</xdr:col>
                    <xdr:colOff>66675</xdr:colOff>
                    <xdr:row>21</xdr:row>
                    <xdr:rowOff>76200</xdr:rowOff>
                  </from>
                  <to>
                    <xdr:col>6</xdr:col>
                    <xdr:colOff>0</xdr:colOff>
                    <xdr:row>22</xdr:row>
                    <xdr:rowOff>95250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A25A03-7E5F-43CE-BAFF-B60FCB941AF6}">
  <sheetPr codeName="Munka9">
    <tabColor rgb="FF00B0F0"/>
  </sheetPr>
  <dimension ref="A1:Y38"/>
  <sheetViews>
    <sheetView showGridLines="0" showRowColHeaders="0" workbookViewId="0">
      <selection activeCell="O25" sqref="O25"/>
    </sheetView>
  </sheetViews>
  <sheetFormatPr defaultRowHeight="15" x14ac:dyDescent="0.25"/>
  <cols>
    <col min="1" max="1" width="2.28515625" customWidth="1"/>
    <col min="2" max="2" width="17.85546875" customWidth="1"/>
    <col min="3" max="3" width="17.28515625" customWidth="1"/>
    <col min="4" max="5" width="18" customWidth="1"/>
    <col min="6" max="6" width="17" customWidth="1"/>
    <col min="7" max="7" width="18" customWidth="1"/>
    <col min="8" max="8" width="17.28515625" customWidth="1"/>
    <col min="9" max="9" width="10.5703125" customWidth="1"/>
    <col min="13" max="13" width="10.42578125" bestFit="1" customWidth="1"/>
    <col min="14" max="14" width="3.28515625" customWidth="1"/>
    <col min="18" max="18" width="4.140625" customWidth="1"/>
    <col min="25" max="25" width="9.140625" style="66" hidden="1" customWidth="1"/>
  </cols>
  <sheetData>
    <row r="1" spans="1:25" x14ac:dyDescent="0.25">
      <c r="A1" s="48"/>
      <c r="B1" s="48"/>
      <c r="C1" s="48"/>
    </row>
    <row r="2" spans="1:25" x14ac:dyDescent="0.25">
      <c r="A2" s="48"/>
      <c r="B2" s="48"/>
      <c r="C2" s="48"/>
    </row>
    <row r="3" spans="1:25" ht="6.75" customHeight="1" x14ac:dyDescent="0.25"/>
    <row r="4" spans="1:25" x14ac:dyDescent="0.25">
      <c r="B4" s="248" t="s">
        <v>6</v>
      </c>
      <c r="C4" s="249"/>
      <c r="D4" s="249"/>
      <c r="E4" s="249"/>
      <c r="F4" s="249"/>
      <c r="G4" s="249"/>
      <c r="H4" s="249"/>
      <c r="I4" s="249"/>
      <c r="J4" s="249"/>
      <c r="K4" s="249"/>
      <c r="L4" s="249"/>
      <c r="M4" s="250"/>
      <c r="O4" s="149" t="s">
        <v>35</v>
      </c>
      <c r="P4" s="150"/>
      <c r="Q4" s="151"/>
      <c r="S4" s="149" t="s">
        <v>65</v>
      </c>
      <c r="T4" s="150"/>
      <c r="U4" s="150"/>
      <c r="V4" s="150"/>
      <c r="W4" s="150"/>
      <c r="X4" s="151"/>
    </row>
    <row r="5" spans="1:25" x14ac:dyDescent="0.25">
      <c r="B5" s="251"/>
      <c r="C5" s="252"/>
      <c r="D5" s="252"/>
      <c r="E5" s="252"/>
      <c r="F5" s="252"/>
      <c r="G5" s="252"/>
      <c r="H5" s="252"/>
      <c r="I5" s="252"/>
      <c r="J5" s="252"/>
      <c r="K5" s="252"/>
      <c r="L5" s="252"/>
      <c r="M5" s="253"/>
      <c r="O5" s="152"/>
      <c r="P5" s="153" t="b">
        <v>0</v>
      </c>
      <c r="Q5" s="154"/>
      <c r="S5" s="152"/>
      <c r="T5" s="153"/>
      <c r="U5" s="153"/>
      <c r="V5" s="153"/>
      <c r="W5" s="153"/>
      <c r="X5" s="154"/>
    </row>
    <row r="6" spans="1:25" x14ac:dyDescent="0.25">
      <c r="B6" s="254" t="s">
        <v>64</v>
      </c>
      <c r="C6" s="255"/>
      <c r="D6" s="255"/>
      <c r="E6" s="255"/>
      <c r="F6" s="255"/>
      <c r="G6" s="255"/>
      <c r="H6" s="255"/>
      <c r="I6" s="255"/>
      <c r="J6" s="255"/>
      <c r="K6" s="255"/>
      <c r="L6" s="255"/>
      <c r="M6" s="256"/>
      <c r="O6" s="232" t="str">
        <f>IF(OR(Y6,Y7,Y11,Y18)=TRUE,"Nem kell további gyakorlati időt igazolni !",IF(Y8=TRUE," 6 hónap fedélzeti szolgálat",IF(Y10=TRUE," 6 hónap fedélzeti szolgálat",IF(Y15=TRUE,"8 hónap fedélzeti szolgálat ",IF(Y12=TRUE,"12 hónap szolgálati célú kisgéphajó vezető gyakorlat, vagy 14 hónap fedélzeti szolgálat",IF(Y9=TRUE," 6 hónap fedélzeti szolgálat","Fedélzeti szolgálatban eltöltött 14 havi - átkelőjáratban közlekedő hajón vagy vitorlás kishajón szerzett 10 havi - hajózási gyakorlat"))))))</f>
        <v>Fedélzeti szolgálatban eltöltött 14 havi - átkelőjáratban közlekedő hajón vagy vitorlás kishajón szerzett 10 havi - hajózási gyakorlat</v>
      </c>
      <c r="P6" s="233"/>
      <c r="Q6" s="234"/>
      <c r="S6" s="148" t="str">
        <f>IF(K28&gt;0,"Írásos vizsgajelentkezési/felmentési kérelem","Okmánykiállítási kérelem benyújtása")</f>
        <v>Írásos vizsgajelentkezési/felmentési kérelem</v>
      </c>
      <c r="T6" s="148"/>
      <c r="U6" s="148"/>
      <c r="V6" s="148"/>
      <c r="W6" s="148"/>
      <c r="X6" s="148"/>
      <c r="Y6" s="66" t="b">
        <v>0</v>
      </c>
    </row>
    <row r="7" spans="1:25" x14ac:dyDescent="0.25">
      <c r="B7" s="13"/>
      <c r="C7" s="14"/>
      <c r="D7" s="14"/>
      <c r="E7" s="14"/>
      <c r="F7" s="14"/>
      <c r="G7" s="14"/>
      <c r="H7" s="14"/>
      <c r="I7" s="14"/>
      <c r="J7" s="14"/>
      <c r="K7" s="14"/>
      <c r="L7" s="14"/>
      <c r="M7" s="15"/>
      <c r="O7" s="235"/>
      <c r="P7" s="236"/>
      <c r="Q7" s="237"/>
      <c r="S7" s="148" t="s">
        <v>55</v>
      </c>
      <c r="T7" s="148"/>
      <c r="U7" s="148"/>
      <c r="V7" s="148"/>
      <c r="W7" s="148"/>
      <c r="X7" s="148"/>
      <c r="Y7" s="66" t="b">
        <v>0</v>
      </c>
    </row>
    <row r="8" spans="1:25" ht="15" customHeight="1" x14ac:dyDescent="0.25">
      <c r="B8" s="6"/>
      <c r="C8" s="7"/>
      <c r="D8" s="7"/>
      <c r="E8" s="7"/>
      <c r="F8" s="7"/>
      <c r="G8" s="7"/>
      <c r="H8" s="7"/>
      <c r="I8" s="7"/>
      <c r="J8" s="7"/>
      <c r="K8" s="7"/>
      <c r="L8" s="7"/>
      <c r="M8" s="8"/>
      <c r="O8" s="235"/>
      <c r="P8" s="236"/>
      <c r="Q8" s="237"/>
      <c r="S8" s="257" t="s">
        <v>56</v>
      </c>
      <c r="T8" s="257"/>
      <c r="U8" s="257"/>
      <c r="V8" s="257"/>
      <c r="W8" s="257"/>
      <c r="X8" s="257"/>
      <c r="Y8" s="66" t="b">
        <v>0</v>
      </c>
    </row>
    <row r="9" spans="1:25" x14ac:dyDescent="0.25">
      <c r="B9" s="6"/>
      <c r="C9" s="7"/>
      <c r="D9" s="7"/>
      <c r="E9" s="7"/>
      <c r="F9" s="7"/>
      <c r="G9" s="7"/>
      <c r="H9" s="7"/>
      <c r="I9" s="7"/>
      <c r="J9" s="7"/>
      <c r="K9" s="7"/>
      <c r="L9" s="7"/>
      <c r="M9" s="8"/>
      <c r="O9" s="235"/>
      <c r="P9" s="236"/>
      <c r="Q9" s="237"/>
      <c r="S9" s="257"/>
      <c r="T9" s="257"/>
      <c r="U9" s="257"/>
      <c r="V9" s="257"/>
      <c r="W9" s="257"/>
      <c r="X9" s="257"/>
      <c r="Y9" s="66" t="b">
        <v>0</v>
      </c>
    </row>
    <row r="10" spans="1:25" x14ac:dyDescent="0.25">
      <c r="B10" s="6"/>
      <c r="C10" s="7"/>
      <c r="D10" s="7"/>
      <c r="E10" s="7"/>
      <c r="F10" s="7"/>
      <c r="G10" s="7"/>
      <c r="H10" s="7"/>
      <c r="I10" s="7"/>
      <c r="J10" s="7"/>
      <c r="K10" s="7"/>
      <c r="L10" s="7"/>
      <c r="M10" s="8"/>
      <c r="O10" s="235"/>
      <c r="P10" s="236"/>
      <c r="Q10" s="237"/>
      <c r="S10" s="257" t="s">
        <v>73</v>
      </c>
      <c r="T10" s="257"/>
      <c r="U10" s="257"/>
      <c r="V10" s="257"/>
      <c r="W10" s="257"/>
      <c r="X10" s="257"/>
      <c r="Y10" s="66" t="b">
        <v>0</v>
      </c>
    </row>
    <row r="11" spans="1:25" x14ac:dyDescent="0.25">
      <c r="B11" s="6"/>
      <c r="C11" s="7"/>
      <c r="D11" s="7"/>
      <c r="E11" s="7"/>
      <c r="F11" s="7"/>
      <c r="G11" s="7"/>
      <c r="H11" s="7"/>
      <c r="I11" s="7"/>
      <c r="J11" s="7"/>
      <c r="K11" s="7"/>
      <c r="L11" s="7"/>
      <c r="M11" s="8"/>
      <c r="O11" s="235"/>
      <c r="P11" s="236"/>
      <c r="Q11" s="237"/>
      <c r="S11" s="148" t="s">
        <v>75</v>
      </c>
      <c r="T11" s="148"/>
      <c r="U11" s="148"/>
      <c r="V11" s="148"/>
      <c r="W11" s="148"/>
      <c r="X11" s="148"/>
      <c r="Y11" s="66" t="b">
        <v>0</v>
      </c>
    </row>
    <row r="12" spans="1:25" x14ac:dyDescent="0.25">
      <c r="B12" s="6"/>
      <c r="C12" s="7"/>
      <c r="D12" s="7"/>
      <c r="E12" s="7"/>
      <c r="F12" s="7"/>
      <c r="G12" s="7"/>
      <c r="H12" s="7"/>
      <c r="I12" s="7"/>
      <c r="J12" s="7"/>
      <c r="K12" s="7"/>
      <c r="L12" s="7"/>
      <c r="M12" s="8"/>
      <c r="O12" s="235"/>
      <c r="P12" s="236"/>
      <c r="Q12" s="237"/>
      <c r="S12" s="257" t="str">
        <f>IF(Y18=TRUE,"",IF(AND(Y15=TRUE,Y18=FALSE),"Képesítés, bizonyítvány, oklevél bemutatása","A vizsgatárgyakat tartalmazó képzésen való részvétel igazolása"))</f>
        <v>A vizsgatárgyakat tartalmazó képzésen való részvétel igazolása</v>
      </c>
      <c r="T12" s="257"/>
      <c r="U12" s="257"/>
      <c r="V12" s="257"/>
      <c r="W12" s="257"/>
      <c r="X12" s="257"/>
      <c r="Y12" s="66" t="b">
        <v>0</v>
      </c>
    </row>
    <row r="13" spans="1:25" x14ac:dyDescent="0.25">
      <c r="B13" s="6"/>
      <c r="C13" s="7"/>
      <c r="D13" s="7"/>
      <c r="E13" s="7"/>
      <c r="F13" s="7"/>
      <c r="G13" s="7"/>
      <c r="H13" s="7"/>
      <c r="I13" s="7"/>
      <c r="J13" s="7"/>
      <c r="K13" s="7"/>
      <c r="L13" s="7"/>
      <c r="M13" s="8"/>
      <c r="O13" s="235"/>
      <c r="P13" s="236"/>
      <c r="Q13" s="237"/>
      <c r="S13" s="257"/>
      <c r="T13" s="257"/>
      <c r="U13" s="257"/>
      <c r="V13" s="257"/>
      <c r="W13" s="257"/>
      <c r="X13" s="257"/>
      <c r="Y13" s="66" t="b">
        <v>0</v>
      </c>
    </row>
    <row r="14" spans="1:25" x14ac:dyDescent="0.25">
      <c r="B14" s="6"/>
      <c r="C14" s="7"/>
      <c r="D14" s="7"/>
      <c r="E14" s="7"/>
      <c r="F14" s="7"/>
      <c r="G14" s="7"/>
      <c r="H14" s="7"/>
      <c r="I14" s="7"/>
      <c r="J14" s="7"/>
      <c r="K14" s="7"/>
      <c r="L14" s="7"/>
      <c r="M14" s="8"/>
      <c r="O14" s="235"/>
      <c r="P14" s="236"/>
      <c r="Q14" s="237"/>
      <c r="S14" s="257" t="str">
        <f>IF(OR(Y6:Y18,Y19)=TRUE,"","Legalább alapfokú iskolai végzettség igazolása")</f>
        <v>Legalább alapfokú iskolai végzettség igazolása</v>
      </c>
      <c r="T14" s="257"/>
      <c r="U14" s="257"/>
      <c r="V14" s="257"/>
      <c r="W14" s="257"/>
      <c r="X14" s="257"/>
      <c r="Y14" s="66" t="b">
        <v>0</v>
      </c>
    </row>
    <row r="15" spans="1:25" x14ac:dyDescent="0.25">
      <c r="B15" s="6"/>
      <c r="C15" s="7"/>
      <c r="D15" s="7"/>
      <c r="E15" s="7"/>
      <c r="F15" s="7"/>
      <c r="G15" s="7"/>
      <c r="H15" s="7"/>
      <c r="I15" s="7"/>
      <c r="J15" s="7"/>
      <c r="K15" s="7"/>
      <c r="L15" s="7"/>
      <c r="M15" s="8"/>
      <c r="O15" s="235"/>
      <c r="P15" s="236"/>
      <c r="Q15" s="237"/>
      <c r="S15" s="257"/>
      <c r="T15" s="257"/>
      <c r="U15" s="257"/>
      <c r="V15" s="257"/>
      <c r="W15" s="257"/>
      <c r="X15" s="257"/>
      <c r="Y15" s="66" t="b">
        <v>0</v>
      </c>
    </row>
    <row r="16" spans="1:25" x14ac:dyDescent="0.25">
      <c r="B16" s="6"/>
      <c r="C16" s="7"/>
      <c r="D16" s="7"/>
      <c r="E16" s="7"/>
      <c r="F16" s="7"/>
      <c r="G16" s="7"/>
      <c r="H16" s="7"/>
      <c r="I16" s="7"/>
      <c r="J16" s="7"/>
      <c r="K16" s="7"/>
      <c r="L16" s="7"/>
      <c r="M16" s="8"/>
      <c r="O16" s="235"/>
      <c r="P16" s="236"/>
      <c r="Q16" s="237"/>
      <c r="S16" s="257" t="str">
        <f>IF(OR(Y19,Y15)=TRUE,"Felmentési kérelemhez: képesítő okmány, vizsgajegyzőkönyv, leckekönyv vagy tanterv","")</f>
        <v/>
      </c>
      <c r="T16" s="257"/>
      <c r="U16" s="257"/>
      <c r="V16" s="257"/>
      <c r="W16" s="257"/>
      <c r="X16" s="257"/>
      <c r="Y16" s="66" t="b">
        <v>0</v>
      </c>
    </row>
    <row r="17" spans="2:25" x14ac:dyDescent="0.25">
      <c r="B17" s="6"/>
      <c r="C17" s="7"/>
      <c r="D17" s="7"/>
      <c r="E17" s="7"/>
      <c r="F17" s="7"/>
      <c r="G17" s="7"/>
      <c r="H17" s="7"/>
      <c r="I17" s="7"/>
      <c r="J17" s="7"/>
      <c r="K17" s="7"/>
      <c r="L17" s="7"/>
      <c r="M17" s="8"/>
      <c r="O17" s="238"/>
      <c r="P17" s="239"/>
      <c r="Q17" s="240"/>
      <c r="S17" s="257"/>
      <c r="T17" s="257"/>
      <c r="U17" s="257"/>
      <c r="V17" s="257"/>
      <c r="W17" s="257"/>
      <c r="X17" s="257"/>
      <c r="Y17" s="66" t="b">
        <v>0</v>
      </c>
    </row>
    <row r="18" spans="2:25" x14ac:dyDescent="0.25">
      <c r="B18" s="6"/>
      <c r="C18" s="7"/>
      <c r="D18" s="7"/>
      <c r="E18" s="7"/>
      <c r="F18" s="7"/>
      <c r="G18" s="7"/>
      <c r="H18" s="7"/>
      <c r="I18" s="7"/>
      <c r="J18" s="7"/>
      <c r="K18" s="7"/>
      <c r="L18" s="7"/>
      <c r="M18" s="8"/>
      <c r="S18" s="45"/>
      <c r="T18" s="45"/>
      <c r="U18" s="45"/>
      <c r="V18" s="45"/>
      <c r="W18" s="45"/>
      <c r="X18" s="45"/>
      <c r="Y18" s="66" t="b">
        <v>0</v>
      </c>
    </row>
    <row r="19" spans="2:25" x14ac:dyDescent="0.25">
      <c r="B19" s="6"/>
      <c r="C19" s="7"/>
      <c r="D19" s="7"/>
      <c r="E19" s="7"/>
      <c r="F19" s="7"/>
      <c r="G19" s="7"/>
      <c r="H19" s="7"/>
      <c r="I19" s="7"/>
      <c r="J19" s="7"/>
      <c r="K19" s="7"/>
      <c r="L19" s="7"/>
      <c r="M19" s="8"/>
      <c r="S19" s="45"/>
      <c r="T19" s="45"/>
      <c r="U19" s="45"/>
      <c r="V19" s="45"/>
      <c r="W19" s="45"/>
      <c r="X19" s="45"/>
      <c r="Y19" s="66" t="b">
        <v>0</v>
      </c>
    </row>
    <row r="20" spans="2:25" x14ac:dyDescent="0.25">
      <c r="B20" s="6"/>
      <c r="C20" s="7"/>
      <c r="D20" s="7"/>
      <c r="E20" s="7"/>
      <c r="F20" s="7"/>
      <c r="G20" s="7"/>
      <c r="H20" s="7"/>
      <c r="I20" s="7"/>
      <c r="J20" s="7"/>
      <c r="K20" s="7"/>
      <c r="L20" s="7"/>
      <c r="M20" s="8"/>
      <c r="S20" s="45"/>
      <c r="T20" s="45"/>
      <c r="U20" s="45"/>
      <c r="V20" s="45"/>
      <c r="W20" s="45"/>
      <c r="X20" s="45"/>
    </row>
    <row r="21" spans="2:25" x14ac:dyDescent="0.25">
      <c r="B21" s="6"/>
      <c r="C21" s="7"/>
      <c r="D21" s="7"/>
      <c r="E21" s="7"/>
      <c r="F21" s="7"/>
      <c r="G21" s="7"/>
      <c r="H21" s="7"/>
      <c r="I21" s="7"/>
      <c r="J21" s="7"/>
      <c r="K21" s="7"/>
      <c r="L21" s="7"/>
      <c r="M21" s="8"/>
      <c r="S21" s="155" t="str">
        <f>IF(Y15=TRUE,"Hajózási szakképzésben szerzett képesítő bizonyítványként azt a képesítő okmányt lehet elfogadni, amelyet olyan oktatási intézmény adott ki, amelynek tanterve a hajózási hatóság által jóváhagyott szakmai oktatási programot tartalmazza","")</f>
        <v/>
      </c>
      <c r="T21" s="156"/>
      <c r="U21" s="156"/>
      <c r="V21" s="156"/>
      <c r="W21" s="156"/>
      <c r="X21" s="157"/>
    </row>
    <row r="22" spans="2:25" x14ac:dyDescent="0.25">
      <c r="B22" s="6"/>
      <c r="C22" s="7"/>
      <c r="D22" s="7"/>
      <c r="E22" s="7"/>
      <c r="F22" s="7"/>
      <c r="G22" s="7"/>
      <c r="H22" s="7"/>
      <c r="I22" s="7"/>
      <c r="J22" s="7"/>
      <c r="K22" s="7"/>
      <c r="L22" s="7"/>
      <c r="M22" s="8"/>
      <c r="S22" s="158"/>
      <c r="T22" s="159"/>
      <c r="U22" s="159"/>
      <c r="V22" s="159"/>
      <c r="W22" s="159"/>
      <c r="X22" s="160"/>
    </row>
    <row r="23" spans="2:25" x14ac:dyDescent="0.25">
      <c r="B23" s="6"/>
      <c r="C23" s="7"/>
      <c r="D23" s="7"/>
      <c r="E23" s="7"/>
      <c r="F23" s="7"/>
      <c r="G23" s="7"/>
      <c r="H23" s="7"/>
      <c r="I23" s="7"/>
      <c r="J23" s="7"/>
      <c r="K23" s="7"/>
      <c r="L23" s="7"/>
      <c r="M23" s="8"/>
      <c r="S23" s="158"/>
      <c r="T23" s="159"/>
      <c r="U23" s="159"/>
      <c r="V23" s="159"/>
      <c r="W23" s="159"/>
      <c r="X23" s="160"/>
    </row>
    <row r="24" spans="2:25" x14ac:dyDescent="0.25">
      <c r="B24" s="6"/>
      <c r="C24" s="7"/>
      <c r="D24" s="7"/>
      <c r="E24" s="7"/>
      <c r="F24" s="7"/>
      <c r="G24" s="7"/>
      <c r="H24" s="7"/>
      <c r="I24" s="7"/>
      <c r="J24" s="7"/>
      <c r="K24" s="7"/>
      <c r="L24" s="7"/>
      <c r="M24" s="8"/>
      <c r="S24" s="158"/>
      <c r="T24" s="159"/>
      <c r="U24" s="159"/>
      <c r="V24" s="159"/>
      <c r="W24" s="159"/>
      <c r="X24" s="160"/>
    </row>
    <row r="25" spans="2:25" x14ac:dyDescent="0.25">
      <c r="B25" s="9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1"/>
      <c r="S25" s="158"/>
      <c r="T25" s="159"/>
      <c r="U25" s="159"/>
      <c r="V25" s="159"/>
      <c r="W25" s="159"/>
      <c r="X25" s="160"/>
    </row>
    <row r="26" spans="2:25" ht="15" customHeight="1" x14ac:dyDescent="0.25">
      <c r="S26" s="158"/>
      <c r="T26" s="159"/>
      <c r="U26" s="159"/>
      <c r="V26" s="159"/>
      <c r="W26" s="159"/>
      <c r="X26" s="160"/>
    </row>
    <row r="27" spans="2:25" ht="15.75" x14ac:dyDescent="0.25">
      <c r="B27" s="125" t="s">
        <v>37</v>
      </c>
      <c r="C27" s="125"/>
      <c r="D27" s="125"/>
      <c r="E27" s="125"/>
      <c r="F27" s="125"/>
      <c r="G27" s="125"/>
      <c r="H27" s="125"/>
      <c r="I27" s="125"/>
      <c r="K27" s="125" t="s">
        <v>43</v>
      </c>
      <c r="L27" s="125"/>
      <c r="M27" s="125" t="s">
        <v>78</v>
      </c>
      <c r="N27" s="125"/>
      <c r="S27" s="161"/>
      <c r="T27" s="162"/>
      <c r="U27" s="162"/>
      <c r="V27" s="162"/>
      <c r="W27" s="162"/>
      <c r="X27" s="163"/>
    </row>
    <row r="28" spans="2:25" ht="16.5" customHeight="1" x14ac:dyDescent="0.25">
      <c r="B28" s="260" t="s">
        <v>66</v>
      </c>
      <c r="C28" s="260" t="s">
        <v>67</v>
      </c>
      <c r="D28" s="260" t="s">
        <v>68</v>
      </c>
      <c r="E28" s="260" t="s">
        <v>69</v>
      </c>
      <c r="F28" s="260" t="s">
        <v>70</v>
      </c>
      <c r="G28" s="260" t="s">
        <v>71</v>
      </c>
      <c r="H28" s="260" t="s">
        <v>77</v>
      </c>
      <c r="I28" s="260" t="s">
        <v>72</v>
      </c>
      <c r="K28" s="258">
        <f>SUM(B37:I37)</f>
        <v>115500</v>
      </c>
      <c r="L28" s="258"/>
      <c r="M28" s="131">
        <f>Kezdőlap!E41</f>
        <v>7300</v>
      </c>
      <c r="N28" s="131"/>
      <c r="S28" s="257" t="s">
        <v>76</v>
      </c>
      <c r="T28" s="257"/>
      <c r="U28" s="257"/>
      <c r="V28" s="257"/>
      <c r="W28" s="257"/>
      <c r="X28" s="257"/>
    </row>
    <row r="29" spans="2:25" x14ac:dyDescent="0.25">
      <c r="B29" s="261"/>
      <c r="C29" s="261"/>
      <c r="D29" s="261"/>
      <c r="E29" s="261"/>
      <c r="F29" s="261"/>
      <c r="G29" s="261"/>
      <c r="H29" s="261"/>
      <c r="I29" s="261"/>
      <c r="K29" s="258"/>
      <c r="L29" s="258"/>
      <c r="M29" s="131"/>
      <c r="N29" s="131"/>
      <c r="S29" s="257"/>
      <c r="T29" s="257"/>
      <c r="U29" s="257"/>
      <c r="V29" s="257"/>
      <c r="W29" s="257"/>
      <c r="X29" s="257"/>
    </row>
    <row r="30" spans="2:25" x14ac:dyDescent="0.25">
      <c r="B30" s="261"/>
      <c r="C30" s="261"/>
      <c r="D30" s="261"/>
      <c r="E30" s="261"/>
      <c r="F30" s="261"/>
      <c r="G30" s="261"/>
      <c r="H30" s="261"/>
      <c r="I30" s="261"/>
      <c r="K30" s="258"/>
      <c r="L30" s="258"/>
      <c r="M30" s="131"/>
      <c r="N30" s="131"/>
      <c r="S30" s="257"/>
      <c r="T30" s="257"/>
      <c r="U30" s="257"/>
      <c r="V30" s="257"/>
      <c r="W30" s="257"/>
      <c r="X30" s="257"/>
    </row>
    <row r="31" spans="2:25" x14ac:dyDescent="0.25">
      <c r="B31" s="261"/>
      <c r="C31" s="261"/>
      <c r="D31" s="261"/>
      <c r="E31" s="261"/>
      <c r="F31" s="261"/>
      <c r="G31" s="261"/>
      <c r="H31" s="261"/>
      <c r="I31" s="261"/>
      <c r="K31" s="258"/>
      <c r="L31" s="258"/>
      <c r="M31" s="131"/>
      <c r="N31" s="131"/>
      <c r="S31" s="257"/>
      <c r="T31" s="257"/>
      <c r="U31" s="257"/>
      <c r="V31" s="257"/>
      <c r="W31" s="257"/>
      <c r="X31" s="257"/>
    </row>
    <row r="32" spans="2:25" x14ac:dyDescent="0.25">
      <c r="B32" s="261"/>
      <c r="C32" s="261"/>
      <c r="D32" s="261"/>
      <c r="E32" s="261"/>
      <c r="F32" s="261"/>
      <c r="G32" s="261"/>
      <c r="H32" s="261"/>
      <c r="I32" s="261"/>
      <c r="K32" s="258"/>
      <c r="L32" s="258"/>
      <c r="M32" s="131"/>
      <c r="N32" s="131"/>
      <c r="S32" s="257"/>
      <c r="T32" s="257"/>
      <c r="U32" s="257"/>
      <c r="V32" s="257"/>
      <c r="W32" s="257"/>
      <c r="X32" s="257"/>
    </row>
    <row r="33" spans="2:24" x14ac:dyDescent="0.25">
      <c r="B33" s="261"/>
      <c r="C33" s="261"/>
      <c r="D33" s="261"/>
      <c r="E33" s="261"/>
      <c r="F33" s="261"/>
      <c r="G33" s="261"/>
      <c r="H33" s="261"/>
      <c r="I33" s="261"/>
      <c r="K33" s="258"/>
      <c r="L33" s="258"/>
      <c r="M33" s="131"/>
      <c r="N33" s="131"/>
      <c r="S33" s="257"/>
      <c r="T33" s="257"/>
      <c r="U33" s="257"/>
      <c r="V33" s="257"/>
      <c r="W33" s="257"/>
      <c r="X33" s="257"/>
    </row>
    <row r="34" spans="2:24" x14ac:dyDescent="0.25">
      <c r="B34" s="261"/>
      <c r="C34" s="261"/>
      <c r="D34" s="261"/>
      <c r="E34" s="261"/>
      <c r="F34" s="261"/>
      <c r="G34" s="261"/>
      <c r="H34" s="261"/>
      <c r="I34" s="261"/>
      <c r="K34" s="258"/>
      <c r="L34" s="258"/>
      <c r="M34" s="131"/>
      <c r="N34" s="131"/>
    </row>
    <row r="35" spans="2:24" x14ac:dyDescent="0.25">
      <c r="B35" s="262"/>
      <c r="C35" s="262"/>
      <c r="D35" s="262"/>
      <c r="E35" s="262"/>
      <c r="F35" s="262"/>
      <c r="G35" s="262"/>
      <c r="H35" s="262"/>
      <c r="I35" s="262"/>
      <c r="S35" s="213" t="s">
        <v>279</v>
      </c>
      <c r="T35" s="214"/>
      <c r="U35" s="214"/>
      <c r="V35" s="214"/>
      <c r="W35" s="214"/>
      <c r="X35" s="215"/>
    </row>
    <row r="36" spans="2:24" ht="15.75" x14ac:dyDescent="0.25">
      <c r="B36" s="16" t="str">
        <f>IF(B37=0,"Felmentés",IF(OR(Y19,Y15)=TRUE,"Felmentés/vizsga","Vizsga"))</f>
        <v>Vizsga</v>
      </c>
      <c r="C36" s="16" t="str">
        <f>IF(C37=0,"Felmentés",IF(OR(Y19,Y15)=TRUE,"Felmentés/vizsga","Vizsga"))</f>
        <v>Vizsga</v>
      </c>
      <c r="D36" s="16" t="str">
        <f>IF(D37=0,"Felmentés",IF(OR(Y19,Y15)=TRUE,"Felmentés/vizsga","Vizsga"))</f>
        <v>Vizsga</v>
      </c>
      <c r="E36" s="16" t="str">
        <f>IF(E37=0,"Felmentés",IF(OR(Y19,Y15)=TRUE,"Felmentés/vizsga","Vizsga"))</f>
        <v>Vizsga</v>
      </c>
      <c r="F36" s="16" t="str">
        <f>IF(F37=0,"Felmentés",IF(OR(Y19,Y15)=TRUE,"Felmentés/vizsga","Vizsga"))</f>
        <v>Vizsga</v>
      </c>
      <c r="G36" s="16" t="str">
        <f>IF(G37=0,"Felmentés",IF(OR(Y19,Y15)=TRUE,"Felmentés/vizsga","Vizsga"))</f>
        <v>Vizsga</v>
      </c>
      <c r="H36" s="16" t="str">
        <f>IF(H37=0,"Felmentés",IF(OR(Y19,Y15)=TRUE,"Felmentés/vizsga","Vizsga"))</f>
        <v>Vizsga</v>
      </c>
      <c r="I36" s="16" t="str">
        <f>IF(I37&lt;&gt;0,"Vizsga","Felmentés")</f>
        <v>Vizsga</v>
      </c>
      <c r="S36" s="216"/>
      <c r="T36" s="217"/>
      <c r="U36" s="217"/>
      <c r="V36" s="217"/>
      <c r="W36" s="217"/>
      <c r="X36" s="218"/>
    </row>
    <row r="37" spans="2:24" ht="15.75" x14ac:dyDescent="0.25">
      <c r="B37" s="39">
        <f>IF(OR(Y6,Y7,Y11,Y12,Y14,Y18)=TRUE,0,Kezdőlap!E36)</f>
        <v>12000</v>
      </c>
      <c r="C37" s="39">
        <f>IF(OR(Y6,Y7,Y11,Y12,Y14,Y18)=TRUE,0,Kezdőlap!E36)</f>
        <v>12000</v>
      </c>
      <c r="D37" s="39">
        <f>IF(OR(Y6,Y8,Y10,Y11,Y12,Y17,Y18)=TRUE,0,Kezdőlap!E36)</f>
        <v>12000</v>
      </c>
      <c r="E37" s="39">
        <f>IF(OR(Y6,Y8,Y10,Y12,Y14,Y16,Y17,Y18)=TRUE,0,Kezdőlap!E36)</f>
        <v>12000</v>
      </c>
      <c r="F37" s="39">
        <f>IF(OR(Y6,Y12,Y14,Y18)=TRUE,0,Kezdőlap!E36)</f>
        <v>12000</v>
      </c>
      <c r="G37" s="39">
        <f>IF(OR(Y6,Y7,Y11,Y12,Y13,Y14,Y16,Y17,Y18)=TRUE,0,Kezdőlap!E36)</f>
        <v>12000</v>
      </c>
      <c r="H37" s="39">
        <f>IF(OR(Y10,Y18)=TRUE,0,Kezdőlap!E36)</f>
        <v>12000</v>
      </c>
      <c r="I37" s="39">
        <f>IF(Y18=TRUE,0,Kezdőlap!E40)</f>
        <v>31500</v>
      </c>
      <c r="S37" s="216"/>
      <c r="T37" s="217"/>
      <c r="U37" s="217"/>
      <c r="V37" s="217"/>
      <c r="W37" s="217"/>
      <c r="X37" s="218"/>
    </row>
    <row r="38" spans="2:24" x14ac:dyDescent="0.25">
      <c r="S38" s="219"/>
      <c r="T38" s="220"/>
      <c r="U38" s="220"/>
      <c r="V38" s="220"/>
      <c r="W38" s="220"/>
      <c r="X38" s="221"/>
    </row>
  </sheetData>
  <sheetProtection sheet="1" objects="1" scenarios="1" selectLockedCells="1"/>
  <mergeCells count="29">
    <mergeCell ref="S28:X33"/>
    <mergeCell ref="K28:L34"/>
    <mergeCell ref="M28:N34"/>
    <mergeCell ref="M27:N27"/>
    <mergeCell ref="I28:I35"/>
    <mergeCell ref="S35:X38"/>
    <mergeCell ref="G28:G35"/>
    <mergeCell ref="H28:H35"/>
    <mergeCell ref="B4:M5"/>
    <mergeCell ref="B6:M6"/>
    <mergeCell ref="B28:B35"/>
    <mergeCell ref="C28:C35"/>
    <mergeCell ref="D28:D35"/>
    <mergeCell ref="E28:E35"/>
    <mergeCell ref="F28:F35"/>
    <mergeCell ref="O4:Q5"/>
    <mergeCell ref="O6:Q17"/>
    <mergeCell ref="S4:X5"/>
    <mergeCell ref="B27:I27"/>
    <mergeCell ref="K27:L27"/>
    <mergeCell ref="S6:X6"/>
    <mergeCell ref="S7:X7"/>
    <mergeCell ref="S8:X9"/>
    <mergeCell ref="S10:X10"/>
    <mergeCell ref="S12:X13"/>
    <mergeCell ref="S11:X11"/>
    <mergeCell ref="S14:X15"/>
    <mergeCell ref="S16:X17"/>
    <mergeCell ref="S21:X27"/>
  </mergeCells>
  <conditionalFormatting sqref="B36:I36">
    <cfRule type="containsText" dxfId="56" priority="1" operator="containsText" text="Vizsga">
      <formula>NOT(ISERROR(SEARCH("Vizsga",B36)))</formula>
    </cfRule>
  </conditionalFormatting>
  <pageMargins left="0.7" right="0.7" top="0.75" bottom="0.75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1279" r:id="rId4" name="Check Box 15">
              <controlPr defaultSize="0" autoFill="0" autoLine="0" autoPict="0">
                <anchor moveWithCells="1">
                  <from>
                    <xdr:col>1</xdr:col>
                    <xdr:colOff>57150</xdr:colOff>
                    <xdr:row>8</xdr:row>
                    <xdr:rowOff>85725</xdr:rowOff>
                  </from>
                  <to>
                    <xdr:col>5</xdr:col>
                    <xdr:colOff>542925</xdr:colOff>
                    <xdr:row>9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80" r:id="rId5" name="Check Box 16">
              <controlPr defaultSize="0" autoFill="0" autoLine="0" autoPict="0">
                <anchor moveWithCells="1">
                  <from>
                    <xdr:col>1</xdr:col>
                    <xdr:colOff>57150</xdr:colOff>
                    <xdr:row>13</xdr:row>
                    <xdr:rowOff>123825</xdr:rowOff>
                  </from>
                  <to>
                    <xdr:col>4</xdr:col>
                    <xdr:colOff>333375</xdr:colOff>
                    <xdr:row>14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81" r:id="rId6" name="Check Box 17">
              <controlPr defaultSize="0" autoFill="0" autoLine="0" autoPict="0">
                <anchor moveWithCells="1">
                  <from>
                    <xdr:col>1</xdr:col>
                    <xdr:colOff>57150</xdr:colOff>
                    <xdr:row>17</xdr:row>
                    <xdr:rowOff>57150</xdr:rowOff>
                  </from>
                  <to>
                    <xdr:col>6</xdr:col>
                    <xdr:colOff>285750</xdr:colOff>
                    <xdr:row>18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82" r:id="rId7" name="Check Box 18">
              <controlPr defaultSize="0" autoFill="0" autoLine="0" autoPict="0">
                <anchor moveWithCells="1">
                  <from>
                    <xdr:col>1</xdr:col>
                    <xdr:colOff>57150</xdr:colOff>
                    <xdr:row>6</xdr:row>
                    <xdr:rowOff>19050</xdr:rowOff>
                  </from>
                  <to>
                    <xdr:col>6</xdr:col>
                    <xdr:colOff>295275</xdr:colOff>
                    <xdr:row>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83" r:id="rId8" name="Check Box 19">
              <controlPr defaultSize="0" autoFill="0" autoLine="0" autoPict="0">
                <anchor moveWithCells="1">
                  <from>
                    <xdr:col>1</xdr:col>
                    <xdr:colOff>57150</xdr:colOff>
                    <xdr:row>22</xdr:row>
                    <xdr:rowOff>9525</xdr:rowOff>
                  </from>
                  <to>
                    <xdr:col>4</xdr:col>
                    <xdr:colOff>447675</xdr:colOff>
                    <xdr:row>23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84" r:id="rId9" name="Check Box 20">
              <controlPr locked="0" defaultSize="0" autoFill="0" autoLine="0" autoPict="0">
                <anchor moveWithCells="1">
                  <from>
                    <xdr:col>1</xdr:col>
                    <xdr:colOff>57150</xdr:colOff>
                    <xdr:row>11</xdr:row>
                    <xdr:rowOff>19050</xdr:rowOff>
                  </from>
                  <to>
                    <xdr:col>5</xdr:col>
                    <xdr:colOff>542925</xdr:colOff>
                    <xdr:row>12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85" r:id="rId10" name="Check Box 21">
              <controlPr defaultSize="0" autoFill="0" autoLine="0" autoPict="0">
                <anchor moveWithCells="1">
                  <from>
                    <xdr:col>1</xdr:col>
                    <xdr:colOff>57150</xdr:colOff>
                    <xdr:row>9</xdr:row>
                    <xdr:rowOff>142875</xdr:rowOff>
                  </from>
                  <to>
                    <xdr:col>5</xdr:col>
                    <xdr:colOff>542925</xdr:colOff>
                    <xdr:row>11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86" r:id="rId11" name="Check Box 22">
              <controlPr defaultSize="0" autoFill="0" autoLine="0" autoPict="0">
                <anchor moveWithCells="1">
                  <from>
                    <xdr:col>1</xdr:col>
                    <xdr:colOff>57150</xdr:colOff>
                    <xdr:row>7</xdr:row>
                    <xdr:rowOff>19050</xdr:rowOff>
                  </from>
                  <to>
                    <xdr:col>5</xdr:col>
                    <xdr:colOff>542925</xdr:colOff>
                    <xdr:row>8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87" r:id="rId12" name="Check Box 23">
              <controlPr defaultSize="0" autoFill="0" autoLine="0" autoPict="0">
                <anchor moveWithCells="1">
                  <from>
                    <xdr:col>1</xdr:col>
                    <xdr:colOff>57150</xdr:colOff>
                    <xdr:row>12</xdr:row>
                    <xdr:rowOff>76200</xdr:rowOff>
                  </from>
                  <to>
                    <xdr:col>4</xdr:col>
                    <xdr:colOff>333375</xdr:colOff>
                    <xdr:row>13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88" r:id="rId13" name="Check Box 24">
              <controlPr defaultSize="0" autoFill="0" autoLine="0" autoPict="0">
                <anchor moveWithCells="1">
                  <from>
                    <xdr:col>1</xdr:col>
                    <xdr:colOff>57150</xdr:colOff>
                    <xdr:row>14</xdr:row>
                    <xdr:rowOff>161925</xdr:rowOff>
                  </from>
                  <to>
                    <xdr:col>4</xdr:col>
                    <xdr:colOff>333375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89" r:id="rId14" name="Check Box 25">
              <controlPr defaultSize="0" autoFill="0" autoLine="0" autoPict="0">
                <anchor moveWithCells="1">
                  <from>
                    <xdr:col>1</xdr:col>
                    <xdr:colOff>57150</xdr:colOff>
                    <xdr:row>16</xdr:row>
                    <xdr:rowOff>19050</xdr:rowOff>
                  </from>
                  <to>
                    <xdr:col>4</xdr:col>
                    <xdr:colOff>333375</xdr:colOff>
                    <xdr:row>17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90" r:id="rId15" name="Check Box 26">
              <controlPr defaultSize="0" autoFill="0" autoLine="0" autoPict="0">
                <anchor moveWithCells="1">
                  <from>
                    <xdr:col>1</xdr:col>
                    <xdr:colOff>57150</xdr:colOff>
                    <xdr:row>23</xdr:row>
                    <xdr:rowOff>38100</xdr:rowOff>
                  </from>
                  <to>
                    <xdr:col>4</xdr:col>
                    <xdr:colOff>333375</xdr:colOff>
                    <xdr:row>24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91" r:id="rId16" name="Check Box 27">
              <controlPr defaultSize="0" autoFill="0" autoLine="0" autoPict="0">
                <anchor moveWithCells="1">
                  <from>
                    <xdr:col>1</xdr:col>
                    <xdr:colOff>57150</xdr:colOff>
                    <xdr:row>20</xdr:row>
                    <xdr:rowOff>85725</xdr:rowOff>
                  </from>
                  <to>
                    <xdr:col>6</xdr:col>
                    <xdr:colOff>285750</xdr:colOff>
                    <xdr:row>21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92" r:id="rId17" name="Check Box 28">
              <controlPr defaultSize="0" autoFill="0" autoLine="0" autoPict="0">
                <anchor moveWithCells="1">
                  <from>
                    <xdr:col>1</xdr:col>
                    <xdr:colOff>57150</xdr:colOff>
                    <xdr:row>18</xdr:row>
                    <xdr:rowOff>171450</xdr:rowOff>
                  </from>
                  <to>
                    <xdr:col>7</xdr:col>
                    <xdr:colOff>409575</xdr:colOff>
                    <xdr:row>20</xdr:row>
                    <xdr:rowOff>76200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34</vt:i4>
      </vt:variant>
    </vt:vector>
  </HeadingPairs>
  <TitlesOfParts>
    <vt:vector size="34" baseType="lpstr">
      <vt:lpstr>Kezdőlap</vt:lpstr>
      <vt:lpstr>Kedvtelési</vt:lpstr>
      <vt:lpstr>Matróz</vt:lpstr>
      <vt:lpstr>Matróz-gépkezelő</vt:lpstr>
      <vt:lpstr>Fedélzetmester</vt:lpstr>
      <vt:lpstr>Kormányos</vt:lpstr>
      <vt:lpstr>Szolgálati kisgéphajó vezető</vt:lpstr>
      <vt:lpstr>Hivatásos kisgéphajó vezető</vt:lpstr>
      <vt:lpstr>Hivatásos vit. kishajó vezető</vt:lpstr>
      <vt:lpstr>Úszómunkagép vezető</vt:lpstr>
      <vt:lpstr>Gépnélküli hajóvezető</vt:lpstr>
      <vt:lpstr>Révész</vt:lpstr>
      <vt:lpstr>"C" kat. hajóvezető</vt:lpstr>
      <vt:lpstr>ADN</vt:lpstr>
      <vt:lpstr>Rádiótelefonkezelő</vt:lpstr>
      <vt:lpstr>Hajózási üzemeltetési vezeő</vt:lpstr>
      <vt:lpstr>Gépkezelő</vt:lpstr>
      <vt:lpstr>Géptiszt</vt:lpstr>
      <vt:lpstr>Gépész</vt:lpstr>
      <vt:lpstr>Gyakornok (EU)</vt:lpstr>
      <vt:lpstr>Tanuló matróz (EU)</vt:lpstr>
      <vt:lpstr>Matróz (EU)</vt:lpstr>
      <vt:lpstr>Képesített matróz (EU)</vt:lpstr>
      <vt:lpstr>Kormányos (EU)</vt:lpstr>
      <vt:lpstr>Hajóvezető (EU)</vt:lpstr>
      <vt:lpstr>VV Ausztria</vt:lpstr>
      <vt:lpstr>VV Magyarország</vt:lpstr>
      <vt:lpstr>VV Németország Duna</vt:lpstr>
      <vt:lpstr>VV Rajna</vt:lpstr>
      <vt:lpstr>VV III</vt:lpstr>
      <vt:lpstr>Radar (EU)</vt:lpstr>
      <vt:lpstr>Nagy kötelékek (EU)</vt:lpstr>
      <vt:lpstr>Személyhajózási szakember (EU)</vt:lpstr>
      <vt:lpstr>Helyettesíthetőség</vt:lpstr>
    </vt:vector>
  </TitlesOfParts>
  <Company>Kavk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Kaluzsa Krisztián</dc:creator>
  <cp:lastModifiedBy>Kozma Bence</cp:lastModifiedBy>
  <dcterms:created xsi:type="dcterms:W3CDTF">2026-06-10T11:18:46Z</dcterms:created>
  <dcterms:modified xsi:type="dcterms:W3CDTF">2026-08-07T08:28:04Z</dcterms:modified>
</cp:coreProperties>
</file>