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8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1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14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1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6.xml" ContentType="application/vnd.openxmlformats-officedocument.drawing+xml"/>
  <Override PartName="/xl/ctrlProps/ctrlProp106.xml" ContentType="application/vnd.ms-excel.controlproperties+xml"/>
  <Override PartName="/xl/drawings/drawing17.xml" ContentType="application/vnd.openxmlformats-officedocument.drawing+xml"/>
  <Override PartName="/xl/ctrlProps/ctrlProp107.xml" ContentType="application/vnd.ms-excel.controlproperties+xml"/>
  <Override PartName="/xl/drawings/drawing18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9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0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21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23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4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5.xml" ContentType="application/vnd.openxmlformats-officedocument.drawing+xml"/>
  <Override PartName="/xl/ctrlProps/ctrlProp161.xml" ContentType="application/vnd.ms-excel.controlproperties+xml"/>
  <Override PartName="/xl/drawings/drawing26.xml" ContentType="application/vnd.openxmlformats-officedocument.drawing+xml"/>
  <Override PartName="/xl/ctrlProps/ctrlProp162.xml" ContentType="application/vnd.ms-excel.controlproperties+xml"/>
  <Override PartName="/xl/drawings/drawing27.xml" ContentType="application/vnd.openxmlformats-officedocument.drawing+xml"/>
  <Override PartName="/xl/ctrlProps/ctrlProp163.xml" ContentType="application/vnd.ms-excel.controlproperties+xml"/>
  <Override PartName="/xl/drawings/drawing28.xml" ContentType="application/vnd.openxmlformats-officedocument.drawing+xml"/>
  <Override PartName="/xl/ctrlProps/ctrlProp164.xml" ContentType="application/vnd.ms-excel.controlproperties+xml"/>
  <Override PartName="/xl/drawings/drawing29.xml" ContentType="application/vnd.openxmlformats-officedocument.drawing+xml"/>
  <Override PartName="/xl/ctrlProps/ctrlProp165.xml" ContentType="application/vnd.ms-excel.controlproperties+xml"/>
  <Override PartName="/xl/drawings/drawing30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HI\Hajózás\FŐOSZTÁLY\HONLAP\Küldeni\"/>
    </mc:Choice>
  </mc:AlternateContent>
  <xr:revisionPtr revIDLastSave="0" documentId="8_{97C1A39B-AB02-4376-A658-46D21E99938F}" xr6:coauthVersionLast="47" xr6:coauthVersionMax="47" xr10:uidLastSave="{00000000-0000-0000-0000-000000000000}"/>
  <bookViews>
    <workbookView xWindow="-120" yWindow="-120" windowWidth="29040" windowHeight="15990" tabRatio="8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ADN" sheetId="20" r:id="rId13"/>
    <sheet name="Rádiókezelő" sheetId="22" r:id="rId14"/>
    <sheet name="HÜV" sheetId="24" r:id="rId15"/>
    <sheet name="Gkez." sheetId="26" r:id="rId16"/>
    <sheet name="Géptiszt" sheetId="27" r:id="rId17"/>
    <sheet name="Gépész" sheetId="35" r:id="rId18"/>
    <sheet name="Gyakornok (EU)" sheetId="39" r:id="rId19"/>
    <sheet name="Tanuló matróz (EU)" sheetId="40" r:id="rId20"/>
    <sheet name="Matróz (EU)" sheetId="41" r:id="rId21"/>
    <sheet name="Képesített matróz (EU)" sheetId="42" r:id="rId22"/>
    <sheet name="Kormányos (EU)" sheetId="43" r:id="rId23"/>
    <sheet name="Hajóvezető (EU)" sheetId="47" r:id="rId24"/>
    <sheet name="VV Ausztria" sheetId="36" r:id="rId25"/>
    <sheet name="VV Magyarország" sheetId="49" r:id="rId26"/>
    <sheet name="VV Németország Duna" sheetId="48" r:id="rId27"/>
    <sheet name="VV Rajna" sheetId="50" r:id="rId28"/>
    <sheet name="VV III" sheetId="37" r:id="rId29"/>
    <sheet name="Radar (EU)" sheetId="38" r:id="rId30"/>
    <sheet name="Nagy kötelékek (EU)" sheetId="44" r:id="rId31"/>
    <sheet name="Személyhajózás" sheetId="45" r:id="rId32"/>
    <sheet name="Helyettesíthetőség" sheetId="25" r:id="rId33"/>
  </sheets>
  <definedNames>
    <definedName name="foot_277_place" localSheetId="32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50" l="1"/>
  <c r="K10" i="17"/>
  <c r="K6" i="17"/>
  <c r="K2" i="17"/>
  <c r="M8" i="17"/>
  <c r="K5" i="17"/>
  <c r="A14" i="24"/>
  <c r="P12" i="24"/>
  <c r="P13" i="24"/>
  <c r="D19" i="50" l="1"/>
  <c r="D18" i="50" s="1"/>
  <c r="F16" i="50" s="1"/>
  <c r="C17" i="50"/>
  <c r="P10" i="24"/>
  <c r="O9" i="24"/>
  <c r="N8" i="24"/>
  <c r="P11" i="24"/>
  <c r="M7" i="24"/>
  <c r="I8" i="24"/>
  <c r="J8" i="24"/>
  <c r="K8" i="24"/>
  <c r="I9" i="24"/>
  <c r="J9" i="24"/>
  <c r="K9" i="24"/>
  <c r="I7" i="24"/>
  <c r="J7" i="24"/>
  <c r="K7" i="24"/>
  <c r="H5" i="24"/>
  <c r="P5" i="24" s="1"/>
  <c r="G4" i="24"/>
  <c r="P4" i="24" s="1"/>
  <c r="H6" i="50" l="1"/>
  <c r="H8" i="50"/>
  <c r="H12" i="50"/>
  <c r="H3" i="50"/>
  <c r="H5" i="50"/>
  <c r="H13" i="50"/>
  <c r="P7" i="24"/>
  <c r="P9" i="24"/>
  <c r="P8" i="24"/>
  <c r="M18" i="49"/>
  <c r="M17" i="49" s="1"/>
  <c r="K18" i="49"/>
  <c r="K17" i="49" s="1"/>
  <c r="I18" i="49"/>
  <c r="I17" i="49" s="1"/>
  <c r="G18" i="49"/>
  <c r="G17" i="49" s="1"/>
  <c r="E18" i="49"/>
  <c r="E17" i="49" s="1"/>
  <c r="O18" i="49"/>
  <c r="O17" i="49" s="1"/>
  <c r="N18" i="49"/>
  <c r="N17" i="49" s="1"/>
  <c r="L18" i="49"/>
  <c r="L17" i="49" s="1"/>
  <c r="J18" i="49"/>
  <c r="J17" i="49" s="1"/>
  <c r="H18" i="49"/>
  <c r="H17" i="49" s="1"/>
  <c r="F18" i="49"/>
  <c r="F17" i="49" s="1"/>
  <c r="D18" i="49"/>
  <c r="D17" i="49" s="1"/>
  <c r="C18" i="49"/>
  <c r="C17" i="49" s="1"/>
  <c r="B18" i="49"/>
  <c r="K13" i="34"/>
  <c r="I17" i="40"/>
  <c r="I17" i="39"/>
  <c r="P19" i="49" l="1"/>
  <c r="B17" i="49"/>
  <c r="I18" i="48"/>
  <c r="I17" i="48" s="1"/>
  <c r="H18" i="48"/>
  <c r="H17" i="48" s="1"/>
  <c r="G18" i="48"/>
  <c r="G17" i="48" s="1"/>
  <c r="F18" i="48"/>
  <c r="F17" i="48" s="1"/>
  <c r="E18" i="48"/>
  <c r="E17" i="48" s="1"/>
  <c r="D18" i="48"/>
  <c r="D17" i="48" s="1"/>
  <c r="C18" i="48"/>
  <c r="C17" i="48" s="1"/>
  <c r="B18" i="48"/>
  <c r="B17" i="48" s="1"/>
  <c r="M8" i="38"/>
  <c r="H17" i="40"/>
  <c r="H20" i="30"/>
  <c r="K13" i="32"/>
  <c r="K13" i="33"/>
  <c r="B26" i="47"/>
  <c r="C26" i="47"/>
  <c r="D26" i="47"/>
  <c r="E26" i="47"/>
  <c r="F26" i="47"/>
  <c r="G26" i="47"/>
  <c r="H26" i="47"/>
  <c r="J26" i="47"/>
  <c r="D18" i="36"/>
  <c r="C18" i="36"/>
  <c r="B18" i="36"/>
  <c r="B18" i="37"/>
  <c r="C18" i="37"/>
  <c r="D18" i="37"/>
  <c r="B18" i="38"/>
  <c r="C18" i="38"/>
  <c r="D18" i="38"/>
  <c r="H17" i="44"/>
  <c r="B16" i="45"/>
  <c r="C16" i="45"/>
  <c r="D16" i="45"/>
  <c r="I29" i="43"/>
  <c r="H29" i="43"/>
  <c r="G29" i="43"/>
  <c r="C29" i="43"/>
  <c r="D29" i="43"/>
  <c r="E29" i="43"/>
  <c r="F29" i="43"/>
  <c r="B29" i="43"/>
  <c r="G22" i="43"/>
  <c r="C22" i="43"/>
  <c r="D22" i="43"/>
  <c r="E22" i="43"/>
  <c r="B22" i="43"/>
  <c r="K27" i="43"/>
  <c r="K24" i="43"/>
  <c r="K22" i="43"/>
  <c r="K20" i="43"/>
  <c r="K19" i="43"/>
  <c r="K18" i="43"/>
  <c r="K17" i="43"/>
  <c r="K12" i="43"/>
  <c r="K11" i="43"/>
  <c r="K24" i="42"/>
  <c r="K21" i="42"/>
  <c r="K20" i="42"/>
  <c r="I28" i="42"/>
  <c r="H28" i="42"/>
  <c r="G28" i="42"/>
  <c r="C28" i="42"/>
  <c r="D28" i="42"/>
  <c r="E28" i="42"/>
  <c r="F28" i="42"/>
  <c r="B28" i="42"/>
  <c r="G21" i="42"/>
  <c r="C21" i="42"/>
  <c r="D21" i="42"/>
  <c r="E21" i="42"/>
  <c r="B21" i="42"/>
  <c r="K19" i="42"/>
  <c r="K18" i="42"/>
  <c r="K17" i="42"/>
  <c r="K16" i="42"/>
  <c r="K11" i="42"/>
  <c r="K10" i="42"/>
  <c r="K10" i="41"/>
  <c r="K29" i="41"/>
  <c r="K26" i="41"/>
  <c r="K25" i="41"/>
  <c r="R9" i="49" l="1"/>
  <c r="P18" i="49"/>
  <c r="R16" i="49" s="1"/>
  <c r="T8" i="49"/>
  <c r="T12" i="49"/>
  <c r="R3" i="49"/>
  <c r="T13" i="49"/>
  <c r="T3" i="49"/>
  <c r="T5" i="49"/>
  <c r="T6" i="49"/>
  <c r="J19" i="48"/>
  <c r="I29" i="41"/>
  <c r="H29" i="41"/>
  <c r="G29" i="41"/>
  <c r="C29" i="41"/>
  <c r="D29" i="41"/>
  <c r="E29" i="41"/>
  <c r="F29" i="41"/>
  <c r="B29" i="41"/>
  <c r="G22" i="41"/>
  <c r="C22" i="41"/>
  <c r="D22" i="41"/>
  <c r="E22" i="41"/>
  <c r="B22" i="41"/>
  <c r="K19" i="41"/>
  <c r="M13" i="41"/>
  <c r="O11" i="41"/>
  <c r="K18" i="41"/>
  <c r="K17" i="41"/>
  <c r="K16" i="41"/>
  <c r="K11" i="41"/>
  <c r="F20" i="29"/>
  <c r="D20" i="29"/>
  <c r="E20" i="29"/>
  <c r="B20" i="29"/>
  <c r="C20" i="29"/>
  <c r="B21" i="29"/>
  <c r="H17" i="39"/>
  <c r="N14" i="35"/>
  <c r="Q10" i="35"/>
  <c r="M14" i="35"/>
  <c r="M13" i="35" s="1"/>
  <c r="L14" i="35"/>
  <c r="L13" i="35" s="1"/>
  <c r="K14" i="35"/>
  <c r="K13" i="35" s="1"/>
  <c r="J14" i="35"/>
  <c r="J13" i="35" s="1"/>
  <c r="I14" i="35"/>
  <c r="I13" i="35" s="1"/>
  <c r="H14" i="35"/>
  <c r="H13" i="35" s="1"/>
  <c r="G14" i="35"/>
  <c r="G13" i="35" s="1"/>
  <c r="F14" i="35"/>
  <c r="F13" i="35" s="1"/>
  <c r="E14" i="35"/>
  <c r="E13" i="35" s="1"/>
  <c r="D14" i="35"/>
  <c r="D13" i="35" s="1"/>
  <c r="C14" i="35"/>
  <c r="C13" i="35" s="1"/>
  <c r="B14" i="35"/>
  <c r="B13" i="35" s="1"/>
  <c r="N3" i="27"/>
  <c r="N7" i="27"/>
  <c r="C13" i="27"/>
  <c r="D13" i="27"/>
  <c r="E13" i="27"/>
  <c r="F13" i="27"/>
  <c r="B13" i="27"/>
  <c r="G14" i="27"/>
  <c r="F14" i="27"/>
  <c r="E14" i="27"/>
  <c r="D14" i="27"/>
  <c r="C14" i="27"/>
  <c r="B14" i="27"/>
  <c r="N4" i="26"/>
  <c r="N10" i="26"/>
  <c r="N9" i="26"/>
  <c r="C12" i="26"/>
  <c r="D12" i="26"/>
  <c r="E12" i="26"/>
  <c r="F12" i="26"/>
  <c r="G12" i="26"/>
  <c r="H12" i="26"/>
  <c r="I12" i="26"/>
  <c r="J12" i="26"/>
  <c r="B12" i="26"/>
  <c r="N11" i="26"/>
  <c r="K13" i="26"/>
  <c r="J13" i="26"/>
  <c r="I13" i="26"/>
  <c r="H13" i="26"/>
  <c r="G13" i="26"/>
  <c r="C13" i="26"/>
  <c r="D13" i="26"/>
  <c r="E13" i="26"/>
  <c r="F13" i="26"/>
  <c r="B13" i="26"/>
  <c r="J6" i="24"/>
  <c r="K6" i="24"/>
  <c r="L6" i="24"/>
  <c r="I6" i="24"/>
  <c r="C3" i="24"/>
  <c r="D3" i="24"/>
  <c r="E3" i="24"/>
  <c r="F3" i="24"/>
  <c r="B3" i="24"/>
  <c r="D15" i="20"/>
  <c r="C15" i="20"/>
  <c r="B15" i="20"/>
  <c r="C12" i="22"/>
  <c r="B12" i="22"/>
  <c r="D20" i="17"/>
  <c r="D19" i="17" s="1"/>
  <c r="M12" i="10"/>
  <c r="M12" i="14"/>
  <c r="M15" i="17"/>
  <c r="L19" i="29"/>
  <c r="M17" i="17"/>
  <c r="M11" i="17"/>
  <c r="K9" i="17"/>
  <c r="I20" i="17"/>
  <c r="H20" i="17"/>
  <c r="H19" i="17" s="1"/>
  <c r="G20" i="17"/>
  <c r="G19" i="17" s="1"/>
  <c r="F20" i="17"/>
  <c r="F19" i="17" s="1"/>
  <c r="E20" i="17"/>
  <c r="E19" i="17" s="1"/>
  <c r="C20" i="17"/>
  <c r="C19" i="17" s="1"/>
  <c r="B20" i="17"/>
  <c r="B19" i="17" s="1"/>
  <c r="L14" i="29"/>
  <c r="M14" i="14"/>
  <c r="M10" i="10"/>
  <c r="L13" i="7"/>
  <c r="L13" i="30"/>
  <c r="M14" i="4"/>
  <c r="M12" i="4"/>
  <c r="M12" i="15"/>
  <c r="M11" i="15"/>
  <c r="M16" i="15"/>
  <c r="H18" i="15"/>
  <c r="G18" i="15"/>
  <c r="F18" i="15"/>
  <c r="F17" i="15" s="1"/>
  <c r="E18" i="15"/>
  <c r="E17" i="15" s="1"/>
  <c r="D18" i="15"/>
  <c r="D17" i="15" s="1"/>
  <c r="C18" i="15"/>
  <c r="C17" i="15" s="1"/>
  <c r="B18" i="15"/>
  <c r="B17" i="15" s="1"/>
  <c r="M16" i="14"/>
  <c r="I18" i="14"/>
  <c r="H18" i="14"/>
  <c r="H17" i="14" s="1"/>
  <c r="G18" i="14"/>
  <c r="G17" i="14" s="1"/>
  <c r="F18" i="14"/>
  <c r="F17" i="14" s="1"/>
  <c r="E18" i="14"/>
  <c r="E17" i="14" s="1"/>
  <c r="D18" i="14"/>
  <c r="D17" i="14" s="1"/>
  <c r="C18" i="14"/>
  <c r="C17" i="14" s="1"/>
  <c r="B18" i="14"/>
  <c r="B17" i="14" s="1"/>
  <c r="H16" i="10"/>
  <c r="G16" i="10"/>
  <c r="G15" i="10" s="1"/>
  <c r="F16" i="10"/>
  <c r="F15" i="10" s="1"/>
  <c r="E16" i="10"/>
  <c r="E15" i="10" s="1"/>
  <c r="D16" i="10"/>
  <c r="D15" i="10" s="1"/>
  <c r="C16" i="10"/>
  <c r="C15" i="10" s="1"/>
  <c r="B16" i="10"/>
  <c r="B15" i="10" s="1"/>
  <c r="M14" i="10"/>
  <c r="M19" i="4"/>
  <c r="J21" i="4"/>
  <c r="I21" i="4"/>
  <c r="H21" i="4"/>
  <c r="H20" i="4" s="1"/>
  <c r="G21" i="4"/>
  <c r="G20" i="4" s="1"/>
  <c r="F21" i="4"/>
  <c r="F20" i="4" s="1"/>
  <c r="E21" i="4"/>
  <c r="E20" i="4" s="1"/>
  <c r="D21" i="4"/>
  <c r="D20" i="4" s="1"/>
  <c r="C21" i="4"/>
  <c r="C20" i="4" s="1"/>
  <c r="B21" i="4"/>
  <c r="B20" i="4" s="1"/>
  <c r="L18" i="30"/>
  <c r="L18" i="7"/>
  <c r="L16" i="30"/>
  <c r="H19" i="30"/>
  <c r="I20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B19" i="30" s="1"/>
  <c r="I21" i="29"/>
  <c r="F21" i="29"/>
  <c r="E21" i="29"/>
  <c r="D21" i="29"/>
  <c r="C21" i="29"/>
  <c r="I20" i="7"/>
  <c r="H20" i="7"/>
  <c r="H19" i="7" s="1"/>
  <c r="G20" i="7"/>
  <c r="G19" i="7" s="1"/>
  <c r="F20" i="7"/>
  <c r="F19" i="7" s="1"/>
  <c r="E20" i="7"/>
  <c r="E19" i="7" s="1"/>
  <c r="D20" i="7"/>
  <c r="D19" i="7" s="1"/>
  <c r="C20" i="7"/>
  <c r="C19" i="7" s="1"/>
  <c r="B20" i="7"/>
  <c r="B19" i="7" s="1"/>
  <c r="B13" i="33"/>
  <c r="L6" i="29"/>
  <c r="L4" i="47"/>
  <c r="L19" i="47"/>
  <c r="L20" i="47"/>
  <c r="P13" i="47"/>
  <c r="L22" i="47"/>
  <c r="N10" i="27"/>
  <c r="L13" i="47"/>
  <c r="L21" i="47"/>
  <c r="L11" i="47"/>
  <c r="L3" i="47"/>
  <c r="Q3" i="35"/>
  <c r="Q9" i="35"/>
  <c r="N9" i="27"/>
  <c r="L2" i="27"/>
  <c r="L2" i="26"/>
  <c r="O2" i="35"/>
  <c r="M9" i="45"/>
  <c r="M14" i="45"/>
  <c r="C15" i="45"/>
  <c r="C17" i="38"/>
  <c r="K20" i="44"/>
  <c r="M8" i="44"/>
  <c r="K2" i="44"/>
  <c r="K9" i="41"/>
  <c r="K21" i="41"/>
  <c r="K23" i="41"/>
  <c r="K22" i="41"/>
  <c r="K20" i="41"/>
  <c r="M4" i="40"/>
  <c r="M4" i="39"/>
  <c r="K3" i="38"/>
  <c r="M17" i="38"/>
  <c r="M16" i="38"/>
  <c r="K9" i="38"/>
  <c r="M16" i="37"/>
  <c r="M8" i="37"/>
  <c r="C17" i="37"/>
  <c r="B17" i="37"/>
  <c r="M3" i="37"/>
  <c r="D17" i="36"/>
  <c r="C17" i="36"/>
  <c r="B17" i="36"/>
  <c r="Q8" i="35"/>
  <c r="K4" i="34"/>
  <c r="M11" i="34"/>
  <c r="K4" i="33"/>
  <c r="M9" i="33"/>
  <c r="M10" i="32"/>
  <c r="M11" i="32"/>
  <c r="K4" i="32"/>
  <c r="M9" i="32"/>
  <c r="M6" i="20"/>
  <c r="M7" i="10"/>
  <c r="M9" i="4"/>
  <c r="K3" i="4"/>
  <c r="J3" i="30"/>
  <c r="O9" i="30"/>
  <c r="N9" i="30"/>
  <c r="M9" i="30"/>
  <c r="L9" i="30"/>
  <c r="O8" i="30"/>
  <c r="N8" i="30"/>
  <c r="M8" i="30"/>
  <c r="J3" i="7"/>
  <c r="L16" i="7"/>
  <c r="L11" i="29"/>
  <c r="L13" i="29"/>
  <c r="P3" i="24" l="1"/>
  <c r="P6" i="24"/>
  <c r="N13" i="48"/>
  <c r="N8" i="48"/>
  <c r="N5" i="48"/>
  <c r="N6" i="48"/>
  <c r="N3" i="48"/>
  <c r="N12" i="48"/>
  <c r="J18" i="48"/>
  <c r="L16" i="48" s="1"/>
  <c r="L4" i="29"/>
  <c r="L5" i="29"/>
  <c r="I22" i="43"/>
  <c r="I21" i="42"/>
  <c r="I22" i="41"/>
  <c r="G27" i="47"/>
  <c r="J32" i="47"/>
  <c r="D17" i="45"/>
  <c r="M3" i="45" s="1"/>
  <c r="B15" i="45"/>
  <c r="K16" i="40"/>
  <c r="K16" i="39"/>
  <c r="D19" i="38"/>
  <c r="B17" i="38"/>
  <c r="D19" i="37"/>
  <c r="E19" i="36"/>
  <c r="E18" i="36" s="1"/>
  <c r="O12" i="35"/>
  <c r="J15" i="35"/>
  <c r="H21" i="30"/>
  <c r="J18" i="30"/>
  <c r="L3" i="30" l="1"/>
  <c r="L8" i="30"/>
  <c r="K14" i="45"/>
  <c r="M12" i="36"/>
  <c r="M13" i="36"/>
  <c r="M6" i="36"/>
  <c r="M8" i="36"/>
  <c r="M5" i="36"/>
  <c r="M3" i="36"/>
  <c r="K16" i="36"/>
  <c r="M3" i="38"/>
  <c r="K16" i="38"/>
  <c r="K16" i="37"/>
  <c r="K9" i="36"/>
  <c r="K3" i="36"/>
  <c r="L10" i="29" l="1"/>
  <c r="G22" i="29" l="1"/>
  <c r="L3" i="29" l="1"/>
  <c r="L1" i="29" s="1"/>
  <c r="L8" i="29"/>
  <c r="J19" i="29"/>
  <c r="L12" i="29" s="1"/>
  <c r="K13" i="20" l="1"/>
  <c r="H21" i="17" l="1"/>
  <c r="M3" i="17" s="1"/>
  <c r="K18" i="17"/>
  <c r="E10" i="22" l="1"/>
  <c r="C13" i="22"/>
  <c r="N8" i="27" l="1"/>
  <c r="L12" i="27" l="1"/>
  <c r="F15" i="27"/>
  <c r="J14" i="26"/>
  <c r="L11" i="26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B11" i="22" l="1"/>
  <c r="P9" i="17" l="1"/>
  <c r="O9" i="17"/>
  <c r="N9" i="17"/>
  <c r="M9" i="17"/>
  <c r="P8" i="17"/>
  <c r="O8" i="17"/>
  <c r="N8" i="17"/>
  <c r="P9" i="15"/>
  <c r="O9" i="15"/>
  <c r="N9" i="15"/>
  <c r="M9" i="15"/>
  <c r="P8" i="15"/>
  <c r="O8" i="15"/>
  <c r="N8" i="15"/>
  <c r="K3" i="14"/>
  <c r="K16" i="14"/>
  <c r="P9" i="14"/>
  <c r="O9" i="14"/>
  <c r="N9" i="14"/>
  <c r="M9" i="14"/>
  <c r="P8" i="14"/>
  <c r="O8" i="14"/>
  <c r="N8" i="14"/>
  <c r="G19" i="15" l="1"/>
  <c r="K16" i="15"/>
  <c r="I19" i="14"/>
  <c r="M3" i="14" s="1"/>
  <c r="M8" i="14" l="1"/>
  <c r="G17" i="10"/>
  <c r="M3" i="10" s="1"/>
  <c r="K14" i="10"/>
  <c r="I22" i="4"/>
  <c r="M3" i="4" s="1"/>
  <c r="K19" i="4"/>
  <c r="J18" i="7"/>
  <c r="H21" i="7"/>
  <c r="L8" i="7" s="1"/>
  <c r="L3" i="7" l="1"/>
  <c r="P8" i="10"/>
  <c r="O8" i="10"/>
  <c r="N8" i="10"/>
  <c r="M8" i="10"/>
  <c r="P7" i="10"/>
  <c r="O7" i="10"/>
  <c r="N7" i="10"/>
  <c r="O9" i="7" l="1"/>
  <c r="N9" i="7"/>
  <c r="M9" i="7"/>
  <c r="L9" i="7"/>
  <c r="O8" i="7"/>
  <c r="N8" i="7"/>
  <c r="M8" i="7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<sst xmlns="http://schemas.openxmlformats.org/spreadsheetml/2006/main" count="722" uniqueCount="304">
  <si>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</si>
  <si>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</si>
  <si>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</si>
  <si>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</si>
  <si>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</si>
  <si>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</si>
  <si>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</si>
  <si>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</si>
  <si>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</si>
  <si>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</si>
  <si>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</si>
  <si>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</si>
  <si>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</si>
  <si>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</si>
  <si>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</si>
  <si>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</si>
  <si>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</si>
  <si>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</si>
  <si>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</si>
  <si>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</si>
  <si>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</si>
  <si>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</si>
  <si>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</si>
  <si>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</si>
  <si>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</si>
  <si>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</si>
  <si>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</si>
  <si>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</si>
  <si>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</si>
  <si>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</si>
  <si>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</si>
  <si>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</si>
  <si>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</si>
  <si>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</si>
  <si>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</si>
  <si>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</si>
  <si>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</si>
  <si>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</si>
  <si>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</si>
  <si>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</si>
  <si>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Veszélyes áru szállítási (ADN) szakértő</t>
  </si>
  <si>
    <t>Egyéb információk</t>
  </si>
  <si>
    <t>Belvízi hajózási rádiótelefon kezelő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</si>
  <si>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</si>
  <si>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</si>
  <si>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</si>
  <si>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</si>
  <si>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</si>
  <si>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</si>
  <si>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</si>
  <si>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</si>
  <si>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</si>
  <si>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</si>
  <si>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</si>
  <si>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VIZSGADÍJ</t>
  </si>
  <si>
    <t>Nagyhajóval folytatott belföldi hajózási tevékenység</t>
  </si>
  <si>
    <t>Belvízi nemzetközi kiegészítés</t>
  </si>
  <si>
    <t>Tengeri kiegészítés</t>
  </si>
  <si>
    <t>Hajózási üzemeltetési vezető</t>
  </si>
  <si>
    <t>Gyakorlati vizsga</t>
  </si>
  <si>
    <t>Válasszon vizsga típust!</t>
  </si>
  <si>
    <t>Meglévő képesítések, kiválasztása</t>
  </si>
  <si>
    <t>Belvízi vitorlás képesítések: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</si>
  <si>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</si>
  <si>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</si>
  <si>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</si>
  <si>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</si>
  <si>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</si>
  <si>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</si>
  <si>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</si>
  <si>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</si>
  <si>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</si>
  <si>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</si>
  <si>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</si>
  <si>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</si>
  <si>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</si>
  <si>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</si>
  <si>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</si>
  <si>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</si>
  <si>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</si>
  <si>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</si>
  <si>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</si>
  <si>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</si>
  <si>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</si>
  <si>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</si>
  <si>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</si>
  <si>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</si>
  <si>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</si>
  <si>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</si>
  <si>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</si>
  <si>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</si>
  <si>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</si>
  <si>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</si>
  <si>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</si>
  <si>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</si>
  <si>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</si>
  <si>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</si>
  <si>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</si>
  <si>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</si>
  <si>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</si>
  <si>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</si>
  <si>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</si>
  <si>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Belvízi kedvtelési célú kishajó vezető</t>
  </si>
  <si>
    <t>Okmány kiállítási díj:</t>
  </si>
  <si>
    <t>okm.</t>
  </si>
  <si>
    <t>Vizsgadíj és okmány kiállítási díj: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</si>
  <si>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</si>
  <si>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</si>
  <si>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</si>
  <si>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</si>
  <si>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</si>
  <si>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</si>
  <si>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</si>
  <si>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</si>
  <si>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</si>
  <si>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</si>
  <si>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</si>
  <si>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</si>
  <si>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</si>
  <si>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</si>
  <si>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</si>
  <si>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</si>
  <si>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</si>
  <si>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</si>
  <si>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</si>
  <si>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</si>
  <si>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</si>
  <si>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</si>
  <si>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</si>
  <si>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</si>
  <si>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</si>
  <si>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</si>
  <si>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</si>
  <si>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</si>
  <si>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</si>
  <si>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</si>
  <si>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</si>
  <si>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</si>
  <si>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</si>
  <si>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</si>
  <si>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</si>
  <si>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</si>
  <si>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</si>
  <si>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</si>
  <si>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</si>
  <si>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</si>
  <si>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</si>
  <si>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</si>
  <si>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</si>
  <si>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</si>
  <si>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</si>
  <si>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</si>
  <si>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</si>
  <si>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</si>
  <si>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</si>
  <si>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</si>
  <si>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</si>
  <si>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</si>
  <si>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</si>
  <si>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</si>
  <si>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</si>
  <si>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</si>
  <si>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</si>
  <si>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</si>
  <si>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</si>
  <si>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</si>
  <si>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</si>
  <si>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</si>
  <si>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</si>
  <si>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</si>
  <si>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</si>
  <si>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</si>
  <si>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</si>
  <si>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</si>
  <si>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</si>
  <si>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</si>
  <si>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</si>
  <si>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</si>
  <si>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</si>
  <si>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</si>
  <si>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</si>
  <si>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</si>
  <si>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</si>
  <si>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</si>
  <si>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</si>
  <si>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</si>
  <si>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</si>
  <si>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</si>
  <si>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333-255 fkm közötti Tiszaa szakasz tesztvizsga</t>
  </si>
  <si>
    <t>Hajóvezető (EU)</t>
  </si>
  <si>
    <t>Rádiókezelő bizonyítvány megléte</t>
  </si>
  <si>
    <t>Hajóvezető képesítés megszerzésének és a bizonyítvány kiállításának feltételei</t>
  </si>
  <si>
    <t>Teljesített feltételek:</t>
  </si>
  <si>
    <t>Elméleti vizsga</t>
  </si>
  <si>
    <t>Kiegészítő modul</t>
  </si>
  <si>
    <t>Hajózási Szabályzat</t>
  </si>
  <si>
    <t>Hajóvezetéstan</t>
  </si>
  <si>
    <t>I. kat. Kompetenciák</t>
  </si>
  <si>
    <t>II. kategóriájú kompetenciák</t>
  </si>
  <si>
    <t>Esettanulmány</t>
  </si>
  <si>
    <t>Az utazás megvalósítása</t>
  </si>
  <si>
    <t>Írásbeli tesztlap</t>
  </si>
  <si>
    <t>Szóbeli</t>
  </si>
  <si>
    <t>Gyakorlat</t>
  </si>
  <si>
    <t>Utazás tervezés</t>
  </si>
  <si>
    <t>OKMÁNYIGÉNYLÉSHEZ: Érvényes, a bizonyítvány igénylésének napját megelőző 3 hónapon belül kiállított, fedélzeti szolgálatra szóló egészségi alkalmasság igazolása</t>
  </si>
  <si>
    <t>továbbá</t>
  </si>
  <si>
    <t>További igazolások:</t>
  </si>
  <si>
    <t>Hajózás</t>
  </si>
  <si>
    <t>szóbeli</t>
  </si>
  <si>
    <t>A vízi jármű üzemeltetése</t>
  </si>
  <si>
    <t>Biztonság és kommunikáció</t>
  </si>
  <si>
    <t>Technológia és karbantartás</t>
  </si>
  <si>
    <t>A hajó indulásra történő felkészítése, a kikötői műveletek</t>
  </si>
  <si>
    <t>A hajó kormányzása felügyelet mellett</t>
  </si>
  <si>
    <t>Csatolás, horgonyzás, rakománykezelés, hajófedélzeti műveletek</t>
  </si>
  <si>
    <t>Karbantartás, technikai eszközök, javítás</t>
  </si>
  <si>
    <t>Rakomány, utasok, személyzet</t>
  </si>
  <si>
    <t>Elsősegélynyújtás</t>
  </si>
  <si>
    <t>Vízből mentés</t>
  </si>
  <si>
    <t>Biztonság, tűzvédelem</t>
  </si>
  <si>
    <t>gyakorlat</t>
  </si>
  <si>
    <t>A fenti vizsgatárgyak teljesítettnek tekinthetők a Hajózási Hatóság által jóváhagyott képzési programok során vagy a Hajózási Hatóság által elismert szervezetek tanfolyamai keretében megtörtént kompetenciafelmérések eredményéről kiadott igazolások, a vezetett fedélzeti oktatási napló adatai alapján.</t>
  </si>
  <si>
    <t>Vizsgadíj, felmentési díj és okmánybejegyzési díj összesen:</t>
  </si>
  <si>
    <t>Képesítés HSZK-ba való bejegyzésének díja</t>
  </si>
  <si>
    <t>Érvényes HSZK vagy nyilatkozat úszni tudásról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</si>
  <si>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alapképzést követően a képzés befejezését követő hat hónapon belül vizsgát kell
tenni. Ha a jelölt sikertelen vizsgát tett, ezt a vizsgát a hat hónapos időtartam alatt
kétszer megismételheti újabb alaptanfolyam elvégzése nélkül.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</t>
    </r>
    <r>
      <rPr>
        <b/>
        <i/>
        <sz val="9"/>
        <color rgb="FFFF0000"/>
        <rFont val="Calibri"/>
        <family val="2"/>
        <charset val="238"/>
        <scheme val="minor"/>
      </rPr>
      <t>A bizonyítvány érvényességi időtartama alatt két ismétlő vizsga tehető.</t>
    </r>
    <r>
      <rPr>
        <b/>
        <i/>
        <sz val="9"/>
        <color theme="1"/>
        <rFont val="Calibri"/>
        <family val="2"/>
        <charset val="238"/>
        <scheme val="minor"/>
      </rPr>
      <t xml:space="preserve">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</si>
  <si>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(hajózási idő: az olyan napokban kifejezett és a hajózási hatóság által igazolt idő, amelyet a fedélzeti személyzet tagjai a vízi jármű útja során belvízi utakon a fedélzeten töltöttek, ideértve az aktív hajózási műveleteket igénylő kirakodási és berakodási tevékenységeket is)</t>
  </si>
  <si>
    <t>A kizárólag magyar vízterületeken közlekedő úszólétesítmények fedélzetén matróz szolgálat ellátására jogosít.</t>
  </si>
  <si>
    <t>Számítógépes elméleti vizsga díja</t>
  </si>
  <si>
    <t>Papír alapú tesztvizsga díja</t>
  </si>
  <si>
    <t>Szóbeli vizsga díja</t>
  </si>
  <si>
    <t>Írásbeli vizsga díja</t>
  </si>
  <si>
    <t>Esettanulmány vizsga díja</t>
  </si>
  <si>
    <t>Gyakorlati vizsga díja</t>
  </si>
  <si>
    <t>Okmánykiállítás díja</t>
  </si>
  <si>
    <t>Érvényes, fedélzeti szolgálatra szóló egészségi alkalmasság igazolása</t>
  </si>
  <si>
    <t>A vizsgára jelentkező személynek, ha az adott vizsgához előírt fedélzeti gyakorlatnak megfelelő időtartamú gépüzemi szolgálatot tud igazolni, a fedélzeti szolgálati időnek csak felét kell teljesítenie</t>
  </si>
  <si>
    <t>Az úszómunkagép-vezetői képesítés kiterjesztése a megszerezni kívánt képesítéssel vezethető munkagépen teljesített 3 havi gyakorlat igazolása esetén kérelmezhető.</t>
  </si>
  <si>
    <t>Írásos vizsgajelentkezési/felmentési kérelem</t>
  </si>
  <si>
    <t>A vizsgatárgyakat tartalmazó képzésen való részvétel igazolása</t>
  </si>
  <si>
    <t>Vizsga</t>
  </si>
  <si>
    <t>Okmánykiállítási díj:</t>
  </si>
  <si>
    <t>Gépüzemi szolgálatra szóló egészségi alkalmasság igazolása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</si>
  <si>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</t>
  </si>
  <si>
    <t>Biztonsági kártyaokmány díja</t>
  </si>
  <si>
    <t>Képesítés bejegyzése szolgálati könyvbe</t>
  </si>
  <si>
    <t>Szolgálati könyv kiállítási díja</t>
  </si>
  <si>
    <t>Belvízi hajózási képesítések esetén a vizsgák feltételeként meghatározott gyakorlati időként az indulási és érkezési kikötő között úton lévő hajón szolgálatban töltött – hajós szolgálati könyvben igazolt – időtartamot kell figyelembe venni</t>
  </si>
  <si>
    <t>A tengeri, partmenti vagy halászhajózásban 250 nap gyakorlati idő számítható 12 hónap gyakorlati időnek</t>
  </si>
  <si>
    <t>A hajó karbantartási, telelési és várakozási ideje 60 nap időtartamig szolgálatban töltött időnek számít</t>
  </si>
  <si>
    <t>Belvízi hajózásban 365 egymást követő napon belül legfeljebb 180 nap gyakorlati idő vehető figyelembe</t>
  </si>
  <si>
    <t>Annak igazolása (nyilatkozat), hogy az utak során a jelölt a hajó kormányállásában tartózkodott, valamint legalább az egyik úton önállóan kormányozta a hajót és kezelte a meghajtó berendezést.</t>
  </si>
  <si>
    <t>Érvényes - UNIÓS okmány igényléséhez a bizonyítvány igénylésének napját megelőző 3 hónapon belül kiállított - fedélzeti szolgálatra szóló egészségi alkalmasság igazolása.</t>
  </si>
  <si>
    <t>A vizsgát megelőző 3 évben megvalósított, legalább 3 hegymeneti és 3 völgymeneti út megtétele a választott szakaszon</t>
  </si>
  <si>
    <t>A Németországi Duna szakaszokra vonatkozó vonalvizsga</t>
  </si>
  <si>
    <t>2249-2259 fkm közötti Duna szakasz</t>
  </si>
  <si>
    <t>2259-2269 fkm közötti Duna szakasz</t>
  </si>
  <si>
    <t>2269-2276 fkm közötti Duna szakasz</t>
  </si>
  <si>
    <t>2276-2284 fkm közötti Duna szakasz</t>
  </si>
  <si>
    <t>2284-2295 fkm közötti Duna szakasz</t>
  </si>
  <si>
    <t>2295-2305 fkm közötti Duna szakasz</t>
  </si>
  <si>
    <t>2305-2314 fkm közötti Duna szakasz</t>
  </si>
  <si>
    <t>2314-2322 fkm közötti Duna szakasz</t>
  </si>
  <si>
    <t>Vonalvizsga bármely választott szakaszra, szakaszokra letehető.</t>
  </si>
  <si>
    <t>A Duna 2249-2322 fkm közötti (Vilshofen-Straubing) szakasza</t>
  </si>
  <si>
    <t>Nemzeti képesítések</t>
  </si>
  <si>
    <t>Nemzetközi képesítések</t>
  </si>
  <si>
    <t>Klikkeljen a kívánt képesítés megnevezésére!</t>
  </si>
  <si>
    <t>RADARHAJÓS (EU); Radar segítségével történő hajóvezetésre jogosító különleges engedély (EU)</t>
  </si>
  <si>
    <t>VV III; Tengeri szakaszokon való hajóvezetésre jogosító különleges engedély (EU)</t>
  </si>
  <si>
    <t>NAGY KÖTELÉKEK vezetésére vonatkozó különleges engedély (EU)</t>
  </si>
  <si>
    <t>Belvízi kedvtelési célú kishajó-vezető</t>
  </si>
  <si>
    <t>Az egyes képesítéseket tartalmazó oldalakról a bal felső sarokra klikkelve (A1 cella) térhet vissza a KEZDŐLAPra</t>
  </si>
  <si>
    <t>A képesítések helyettesíthetőségének szabályai</t>
  </si>
  <si>
    <t>VV II. Ausztria (Duna)</t>
  </si>
  <si>
    <t>VV II. Magyarország (Duna és Tisza)</t>
  </si>
  <si>
    <t>VV II. Németország (Duna)</t>
  </si>
  <si>
    <t>Az okmánykiállításhoz előírt feltételek:</t>
  </si>
  <si>
    <t xml:space="preserve">Írásos kérelem </t>
  </si>
  <si>
    <t>1811-1766 fkm közötti Duna szakasz tesztvizsga</t>
  </si>
  <si>
    <t>1766-1708 fkm közötti Duna szakasz tesztvizsga</t>
  </si>
  <si>
    <t>A rész</t>
  </si>
  <si>
    <t>B rész</t>
  </si>
  <si>
    <t>Kishajóval folytatott belföldi hajózási tevékenységre szóló képesítés megszerzése</t>
  </si>
  <si>
    <t>Komppal folytatott belföldi hajózási tevékenységre szóló képesítés megszerzése</t>
  </si>
  <si>
    <t>Úszómunkagéppel folytatott belföldi hajózási tevékenységre szóló képesítés megszerzése</t>
  </si>
  <si>
    <t>Úszólétesítménnyel  és/vagy úszólétesítményen folytatott belföldi hajózási tevékenységre szóló képesítés megszerzése</t>
  </si>
  <si>
    <t>4. KISHAJÓ hajózási vállalkozási ismeretek</t>
  </si>
  <si>
    <t>4. KOMP hajózási vállalkozási ismeretek</t>
  </si>
  <si>
    <t>4. ÚSZÓMUNKAGÉP hajózási vállalkozási ismeretek</t>
  </si>
  <si>
    <t>4. EGYÉB ÚSZÓLÉTESÍTMÉNY hajózási vállalkozási ismeretek</t>
  </si>
  <si>
    <t>Kérelmezhető vizsga nélkül</t>
  </si>
  <si>
    <t>Nem szükséges A. rész 1. pont 1.4. és 1.5. alpontjában meghatározott hajózási szakmai tárgyakból vizsgát tennie annak a személynek, akinek
a) belvízi nagyhajó vezetésére jogosító képesítése,
b) tengerész fedélzeti tiszti, vagy magasabb képesítése vagy
c) hajózási szakirányú egyetemi, főiskolai végzettsége
van.</t>
  </si>
  <si>
    <r>
      <t xml:space="preserve">Meglévő, kishajóra vagy kompra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úszómunkagépre</t>
    </r>
  </si>
  <si>
    <r>
      <t xml:space="preserve">Meglévő, kishajóra vagy úszómunkagépre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egyéb úszólétesítményre</t>
    </r>
  </si>
  <si>
    <r>
      <t xml:space="preserve">Meglévő, kishajóra vagy úszómunkagép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kompra</t>
    </r>
  </si>
  <si>
    <r>
      <t xml:space="preserve">Meglévő kompra vagy úszómunkagépre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kishajóra</t>
    </r>
  </si>
  <si>
    <t xml:space="preserve"> </t>
  </si>
  <si>
    <t>Érvényes HSZK megléte/A képesítés bejegyzéséhez UNIÓS HSZK megléte</t>
  </si>
  <si>
    <t>Érvényes HSZK megléte/A képesítés bejegyzéshez UNIOS HSZK megléte</t>
  </si>
  <si>
    <t>Vonalvizsga legalább 20 fkm hosszú szakaszra tehető le.</t>
  </si>
  <si>
    <t>VV II. Rajna</t>
  </si>
  <si>
    <t>Rajna 335.66-425.00 fkm (Iffezheim - Mannheim)
Rajna 498.45-592.00 fkm (Mainz - Koblenz)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</si>
</sst>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0" fillId="0" borderId="0" xfId="0" applyAlignment="1">
      <alignment textRotation="90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3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33" fillId="0" borderId="0" xfId="0" applyFont="1"/>
    <xf numFmtId="0" fontId="33" fillId="0" borderId="0" xfId="0" applyFont="1" applyProtection="1"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horizontal="center" vertical="center"/>
    </xf>
    <xf numFmtId="0" fontId="13" fillId="4" borderId="1" xfId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8" fillId="4" borderId="1" xfId="1" quotePrefix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quotePrefix="1" applyFont="1" applyFill="1" applyBorder="1" applyAlignment="1" applyProtection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1" applyFill="1" applyBorder="1" applyAlignment="1" applyProtection="1">
      <alignment horizontal="center" vertical="center"/>
    </xf>
    <xf numFmtId="0" fontId="8" fillId="2" borderId="0" xfId="0" applyFont="1" applyFill="1"/>
    <xf numFmtId="0" fontId="35" fillId="0" borderId="1" xfId="0" applyFont="1" applyBorder="1" applyAlignment="1">
      <alignment horizontal="center" wrapText="1"/>
    </xf>
    <xf numFmtId="164" fontId="3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8" xfId="0" applyFont="1" applyBorder="1" applyAlignment="1">
      <alignment horizontal="center" textRotation="90" wrapText="1"/>
    </xf>
    <xf numFmtId="0" fontId="14" fillId="0" borderId="38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textRotation="90" wrapText="1"/>
    </xf>
    <xf numFmtId="0" fontId="0" fillId="3" borderId="37" xfId="0" applyFill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6" fontId="0" fillId="0" borderId="0" xfId="0" applyNumberFormat="1" applyAlignment="1">
      <alignment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84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checked="Checked" fmlaLink="$P$3" lockText="1" noThreeD="1"/>
</file>

<file path=xl/ctrlProps/ctrlProp10.xml><?xml version="1.0" encoding="utf-8"?>
<formControlPr xmlns="http://schemas.microsoft.com/office/spreadsheetml/2009/9/main" objectType="CheckBox" fmlaLink="$P$15" lockText="1" noThreeD="1"/>
</file>

<file path=xl/ctrlProps/ctrlProp100.xml><?xml version="1.0" encoding="utf-8"?>
<formControlPr xmlns="http://schemas.microsoft.com/office/spreadsheetml/2009/9/main" objectType="CheckBox" fmlaLink="$R$5" lockText="1" noThreeD="1"/>
</file>

<file path=xl/ctrlProps/ctrlProp101.xml><?xml version="1.0" encoding="utf-8"?>
<formControlPr xmlns="http://schemas.microsoft.com/office/spreadsheetml/2009/9/main" objectType="CheckBox" fmlaLink="$R$6" lockText="1" noThreeD="1"/>
</file>

<file path=xl/ctrlProps/ctrlProp102.xml><?xml version="1.0" encoding="utf-8"?>
<formControlPr xmlns="http://schemas.microsoft.com/office/spreadsheetml/2009/9/main" objectType="CheckBox" fmlaLink="$U$3" lockText="1" noThreeD="1"/>
</file>

<file path=xl/ctrlProps/ctrlProp103.xml><?xml version="1.0" encoding="utf-8"?>
<formControlPr xmlns="http://schemas.microsoft.com/office/spreadsheetml/2009/9/main" objectType="CheckBox" fmlaLink="$U$4" lockText="1" noThreeD="1"/>
</file>

<file path=xl/ctrlProps/ctrlProp104.xml><?xml version="1.0" encoding="utf-8"?>
<formControlPr xmlns="http://schemas.microsoft.com/office/spreadsheetml/2009/9/main" objectType="CheckBox" fmlaLink="$U$5" lockText="1" noThreeD="1"/>
</file>

<file path=xl/ctrlProps/ctrlProp105.xml><?xml version="1.0" encoding="utf-8"?>
<formControlPr xmlns="http://schemas.microsoft.com/office/spreadsheetml/2009/9/main" objectType="CheckBox" fmlaLink="$U$6" lockText="1" noThreeD="1"/>
</file>

<file path=xl/ctrlProps/ctrlProp106.xml><?xml version="1.0" encoding="utf-8"?>
<formControlPr xmlns="http://schemas.microsoft.com/office/spreadsheetml/2009/9/main" objectType="CheckBox" fmlaLink="$Q$4" lockText="1" noThreeD="1"/>
</file>

<file path=xl/ctrlProps/ctrlProp107.xml><?xml version="1.0" encoding="utf-8"?>
<formControlPr xmlns="http://schemas.microsoft.com/office/spreadsheetml/2009/9/main" objectType="CheckBox" fmlaLink="$Q$4" lockText="1" noThreeD="1"/>
</file>

<file path=xl/ctrlProps/ctrlProp108.xml><?xml version="1.0" encoding="utf-8"?>
<formControlPr xmlns="http://schemas.microsoft.com/office/spreadsheetml/2009/9/main" objectType="CheckBox" checked="Checked" fmlaLink="$Q$5" lockText="1" noThreeD="1"/>
</file>

<file path=xl/ctrlProps/ctrlProp109.xml><?xml version="1.0" encoding="utf-8"?>
<formControlPr xmlns="http://schemas.microsoft.com/office/spreadsheetml/2009/9/main" objectType="CheckBox" fmlaLink="$Q$6" lockText="1" noThreeD="1"/>
</file>

<file path=xl/ctrlProps/ctrlProp11.xml><?xml version="1.0" encoding="utf-8"?>
<formControlPr xmlns="http://schemas.microsoft.com/office/spreadsheetml/2009/9/main" objectType="CheckBox" fmlaLink="P16" lockText="1" noThreeD="1"/>
</file>

<file path=xl/ctrlProps/ctrlProp110.xml><?xml version="1.0" encoding="utf-8"?>
<formControlPr xmlns="http://schemas.microsoft.com/office/spreadsheetml/2009/9/main" objectType="CheckBox" fmlaLink="$Q$7" lockText="1" noThreeD="1"/>
</file>

<file path=xl/ctrlProps/ctrlProp111.xml><?xml version="1.0" encoding="utf-8"?>
<formControlPr xmlns="http://schemas.microsoft.com/office/spreadsheetml/2009/9/main" objectType="CheckBox" fmlaLink="$Q$10" lockText="1" noThreeD="1"/>
</file>

<file path=xl/ctrlProps/ctrlProp112.xml><?xml version="1.0" encoding="utf-8"?>
<formControlPr xmlns="http://schemas.microsoft.com/office/spreadsheetml/2009/9/main" objectType="CheckBox" fmlaLink="$Q$11" lockText="1" noThreeD="1"/>
</file>

<file path=xl/ctrlProps/ctrlProp113.xml><?xml version="1.0" encoding="utf-8"?>
<formControlPr xmlns="http://schemas.microsoft.com/office/spreadsheetml/2009/9/main" objectType="CheckBox" fmlaLink="$Q$12" lockText="1" noThreeD="1"/>
</file>

<file path=xl/ctrlProps/ctrlProp114.xml><?xml version="1.0" encoding="utf-8"?>
<formControlPr xmlns="http://schemas.microsoft.com/office/spreadsheetml/2009/9/main" objectType="CheckBox" fmlaLink="$Q$13" lockText="1" noThreeD="1"/>
</file>

<file path=xl/ctrlProps/ctrlProp115.xml><?xml version="1.0" encoding="utf-8"?>
<formControlPr xmlns="http://schemas.microsoft.com/office/spreadsheetml/2009/9/main" objectType="CheckBox" fmlaLink="$Q$14" lockText="1" noThreeD="1"/>
</file>

<file path=xl/ctrlProps/ctrlProp116.xml><?xml version="1.0" encoding="utf-8"?>
<formControlPr xmlns="http://schemas.microsoft.com/office/spreadsheetml/2009/9/main" objectType="CheckBox" fmlaLink="$Q$8" lockText="1" noThreeD="1"/>
</file>

<file path=xl/ctrlProps/ctrlProp117.xml><?xml version="1.0" encoding="utf-8"?>
<formControlPr xmlns="http://schemas.microsoft.com/office/spreadsheetml/2009/9/main" objectType="CheckBox" fmlaLink="$Q$5" lockText="1" noThreeD="1"/>
</file>

<file path=xl/ctrlProps/ctrlProp118.xml><?xml version="1.0" encoding="utf-8"?>
<formControlPr xmlns="http://schemas.microsoft.com/office/spreadsheetml/2009/9/main" objectType="CheckBox" fmlaLink="$Q$6" lockText="1" noThreeD="1"/>
</file>

<file path=xl/ctrlProps/ctrlProp119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Q$13" lockText="1" noThreeD="1"/>
</file>

<file path=xl/ctrlProps/ctrlProp121.xml><?xml version="1.0" encoding="utf-8"?>
<formControlPr xmlns="http://schemas.microsoft.com/office/spreadsheetml/2009/9/main" objectType="CheckBox" fmlaLink="$Q$14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5" lockText="1" noThreeD="1"/>
</file>

<file path=xl/ctrlProps/ctrlProp124.xml><?xml version="1.0" encoding="utf-8"?>
<formControlPr xmlns="http://schemas.microsoft.com/office/spreadsheetml/2009/9/main" objectType="CheckBox" fmlaLink="$Q$6" lockText="1" noThreeD="1"/>
</file>

<file path=xl/ctrlProps/ctrlProp125.xml><?xml version="1.0" encoding="utf-8"?>
<formControlPr xmlns="http://schemas.microsoft.com/office/spreadsheetml/2009/9/main" objectType="CheckBox" fmlaLink="$Q$7" lockText="1" noThreeD="1"/>
</file>

<file path=xl/ctrlProps/ctrlProp126.xml><?xml version="1.0" encoding="utf-8"?>
<formControlPr xmlns="http://schemas.microsoft.com/office/spreadsheetml/2009/9/main" objectType="CheckBox" fmlaLink="$Q$12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4" lockText="1" noThreeD="1"/>
</file>

<file path=xl/ctrlProps/ctrlProp129.xml><?xml version="1.0" encoding="utf-8"?>
<formControlPr xmlns="http://schemas.microsoft.com/office/spreadsheetml/2009/9/main" objectType="CheckBox" fmlaLink="$Q$8" lockText="1" noThreeD="1"/>
</file>

<file path=xl/ctrlProps/ctrlProp13.xml><?xml version="1.0" encoding="utf-8"?>
<formControlPr xmlns="http://schemas.microsoft.com/office/spreadsheetml/2009/9/main" objectType="CheckBox" fmlaLink="$Q$4" lockText="1" noThreeD="1"/>
</file>

<file path=xl/ctrlProps/ctrlProp130.xml><?xml version="1.0" encoding="utf-8"?>
<formControlPr xmlns="http://schemas.microsoft.com/office/spreadsheetml/2009/9/main" objectType="CheckBox" fmlaLink="$R$6" lockText="1" noThreeD="1"/>
</file>

<file path=xl/ctrlProps/ctrlProp131.xml><?xml version="1.0" encoding="utf-8"?>
<formControlPr xmlns="http://schemas.microsoft.com/office/spreadsheetml/2009/9/main" objectType="CheckBox" fmlaLink="$R$8" lockText="1" noThreeD="1"/>
</file>

<file path=xl/ctrlProps/ctrlProp132.xml><?xml version="1.0" encoding="utf-8"?>
<formControlPr xmlns="http://schemas.microsoft.com/office/spreadsheetml/2009/9/main" objectType="CheckBox" fmlaLink="$R$9" lockText="1" noThreeD="1"/>
</file>

<file path=xl/ctrlProps/ctrlProp133.xml><?xml version="1.0" encoding="utf-8"?>
<formControlPr xmlns="http://schemas.microsoft.com/office/spreadsheetml/2009/9/main" objectType="CheckBox" fmlaLink="$R$5" lockText="1" noThreeD="1"/>
</file>

<file path=xl/ctrlProps/ctrlProp134.xml><?xml version="1.0" encoding="utf-8"?>
<formControlPr xmlns="http://schemas.microsoft.com/office/spreadsheetml/2009/9/main" objectType="CheckBox" fmlaLink="$R$4" lockText="1" noThreeD="1"/>
</file>

<file path=xl/ctrlProps/ctrlProp135.xml><?xml version="1.0" encoding="utf-8"?>
<formControlPr xmlns="http://schemas.microsoft.com/office/spreadsheetml/2009/9/main" objectType="CheckBox" fmlaLink="$R$7" lockText="1" noThreeD="1"/>
</file>

<file path=xl/ctrlProps/ctrlProp136.xml><?xml version="1.0" encoding="utf-8"?>
<formControlPr xmlns="http://schemas.microsoft.com/office/spreadsheetml/2009/9/main" objectType="Radio" firstButton="1" fmlaLink="$R$14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CheckBox" fmlaLink="$Q$4" lockText="1" noThreeD="1"/>
</file>

<file path=xl/ctrlProps/ctrlProp140.xml><?xml version="1.0" encoding="utf-8"?>
<formControlPr xmlns="http://schemas.microsoft.com/office/spreadsheetml/2009/9/main" objectType="CheckBox" fmlaLink="$R$10" lockText="1" noThreeD="1"/>
</file>

<file path=xl/ctrlProps/ctrlProp141.xml><?xml version="1.0" encoding="utf-8"?>
<formControlPr xmlns="http://schemas.microsoft.com/office/spreadsheetml/2009/9/main" objectType="CheckBox" fmlaLink="$Q$6" lockText="1" noThreeD="1"/>
</file>

<file path=xl/ctrlProps/ctrlProp142.xml><?xml version="1.0" encoding="utf-8"?>
<formControlPr xmlns="http://schemas.microsoft.com/office/spreadsheetml/2009/9/main" objectType="CheckBox" fmlaLink="$Q$5" lockText="1" noThreeD="1"/>
</file>

<file path=xl/ctrlProps/ctrlProp143.xml><?xml version="1.0" encoding="utf-8"?>
<formControlPr xmlns="http://schemas.microsoft.com/office/spreadsheetml/2009/9/main" objectType="CheckBox" fmlaLink="$Q$4" lockText="1" noThreeD="1"/>
</file>

<file path=xl/ctrlProps/ctrlProp144.xml><?xml version="1.0" encoding="utf-8"?>
<formControlPr xmlns="http://schemas.microsoft.com/office/spreadsheetml/2009/9/main" objectType="CheckBox" fmlaLink="$X$6" lockText="1" noThreeD="1"/>
</file>

<file path=xl/ctrlProps/ctrlProp145.xml><?xml version="1.0" encoding="utf-8"?>
<formControlPr xmlns="http://schemas.microsoft.com/office/spreadsheetml/2009/9/main" objectType="CheckBox" fmlaLink="$X$5" lockText="1" noThreeD="1"/>
</file>

<file path=xl/ctrlProps/ctrlProp146.xml><?xml version="1.0" encoding="utf-8"?>
<formControlPr xmlns="http://schemas.microsoft.com/office/spreadsheetml/2009/9/main" objectType="CheckBox" fmlaLink="$X$4" lockText="1" noThreeD="1"/>
</file>

<file path=xl/ctrlProps/ctrlProp147.xml><?xml version="1.0" encoding="utf-8"?>
<formControlPr xmlns="http://schemas.microsoft.com/office/spreadsheetml/2009/9/main" objectType="CheckBox" fmlaLink="$X$7" lockText="1" noThreeD="1"/>
</file>

<file path=xl/ctrlProps/ctrlProp148.xml><?xml version="1.0" encoding="utf-8"?>
<formControlPr xmlns="http://schemas.microsoft.com/office/spreadsheetml/2009/9/main" objectType="CheckBox" fmlaLink="$X$8" lockText="1" noThreeD="1"/>
</file>

<file path=xl/ctrlProps/ctrlProp149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P$6" lockText="1" noThreeD="1"/>
</file>

<file path=xl/ctrlProps/ctrlProp150.xml><?xml version="1.0" encoding="utf-8"?>
<formControlPr xmlns="http://schemas.microsoft.com/office/spreadsheetml/2009/9/main" objectType="CheckBox" fmlaLink="$X$12" lockText="1" noThreeD="1"/>
</file>

<file path=xl/ctrlProps/ctrlProp151.xml><?xml version="1.0" encoding="utf-8"?>
<formControlPr xmlns="http://schemas.microsoft.com/office/spreadsheetml/2009/9/main" objectType="CheckBox" fmlaLink="$X$2" lockText="1" noThreeD="1"/>
</file>

<file path=xl/ctrlProps/ctrlProp152.xml><?xml version="1.0" encoding="utf-8"?>
<formControlPr xmlns="http://schemas.microsoft.com/office/spreadsheetml/2009/9/main" objectType="CheckBox" fmlaLink="$X$3" lockText="1" noThreeD="1"/>
</file>

<file path=xl/ctrlProps/ctrlProp153.xml><?xml version="1.0" encoding="utf-8"?>
<formControlPr xmlns="http://schemas.microsoft.com/office/spreadsheetml/2009/9/main" objectType="CheckBox" fmlaLink="$R$4" lockText="1" noThreeD="1"/>
</file>

<file path=xl/ctrlProps/ctrlProp154.xml><?xml version="1.0" encoding="utf-8"?>
<formControlPr xmlns="http://schemas.microsoft.com/office/spreadsheetml/2009/9/main" objectType="CheckBox" fmlaLink="$R$5" lockText="1" noThreeD="1"/>
</file>

<file path=xl/ctrlProps/ctrlProp155.xml><?xml version="1.0" encoding="utf-8"?>
<formControlPr xmlns="http://schemas.microsoft.com/office/spreadsheetml/2009/9/main" objectType="CheckBox" fmlaLink="$R$6" lockText="1" noThreeD="1"/>
</file>

<file path=xl/ctrlProps/ctrlProp156.xml><?xml version="1.0" encoding="utf-8"?>
<formControlPr xmlns="http://schemas.microsoft.com/office/spreadsheetml/2009/9/main" objectType="CheckBox" fmlaLink="$R$7" lockText="1" noThreeD="1"/>
</file>

<file path=xl/ctrlProps/ctrlProp157.xml><?xml version="1.0" encoding="utf-8"?>
<formControlPr xmlns="http://schemas.microsoft.com/office/spreadsheetml/2009/9/main" objectType="CheckBox" fmlaLink="$R$8" lockText="1" noThreeD="1"/>
</file>

<file path=xl/ctrlProps/ctrlProp158.xml><?xml version="1.0" encoding="utf-8"?>
<formControlPr xmlns="http://schemas.microsoft.com/office/spreadsheetml/2009/9/main" objectType="CheckBox" fmlaLink="$R$9" lockText="1" noThreeD="1"/>
</file>

<file path=xl/ctrlProps/ctrlProp159.xml><?xml version="1.0" encoding="utf-8"?>
<formControlPr xmlns="http://schemas.microsoft.com/office/spreadsheetml/2009/9/main" objectType="CheckBox" fmlaLink="$R$10" lockText="1" noThreeD="1"/>
</file>

<file path=xl/ctrlProps/ctrlProp16.xml><?xml version="1.0" encoding="utf-8"?>
<formControlPr xmlns="http://schemas.microsoft.com/office/spreadsheetml/2009/9/main" objectType="CheckBox" fmlaLink="$P$11" lockText="1" noThreeD="1"/>
</file>

<file path=xl/ctrlProps/ctrlProp160.xml><?xml version="1.0" encoding="utf-8"?>
<formControlPr xmlns="http://schemas.microsoft.com/office/spreadsheetml/2009/9/main" objectType="CheckBox" fmlaLink="$R$11" lockText="1" noThreeD="1"/>
</file>

<file path=xl/ctrlProps/ctrlProp161.xml><?xml version="1.0" encoding="utf-8"?>
<formControlPr xmlns="http://schemas.microsoft.com/office/spreadsheetml/2009/9/main" objectType="CheckBox" fmlaLink="$L$4" lockText="1" noThreeD="1"/>
</file>

<file path=xl/ctrlProps/ctrlProp162.xml><?xml version="1.0" encoding="utf-8"?>
<formControlPr xmlns="http://schemas.microsoft.com/office/spreadsheetml/2009/9/main" objectType="CheckBox" fmlaLink="$Q$4" lockText="1" noThreeD="1"/>
</file>

<file path=xl/ctrlProps/ctrlProp163.xml><?xml version="1.0" encoding="utf-8"?>
<formControlPr xmlns="http://schemas.microsoft.com/office/spreadsheetml/2009/9/main" objectType="CheckBox" fmlaLink="$Q$4" lockText="1" noThreeD="1"/>
</file>

<file path=xl/ctrlProps/ctrlProp164.xml><?xml version="1.0" encoding="utf-8"?>
<formControlPr xmlns="http://schemas.microsoft.com/office/spreadsheetml/2009/9/main" objectType="CheckBox" fmlaLink="$Q$4" lockText="1" noThreeD="1"/>
</file>

<file path=xl/ctrlProps/ctrlProp165.xml><?xml version="1.0" encoding="utf-8"?>
<formControlPr xmlns="http://schemas.microsoft.com/office/spreadsheetml/2009/9/main" objectType="CheckBox" fmlaLink="$Q$4" lockText="1" noThreeD="1"/>
</file>

<file path=xl/ctrlProps/ctrlProp166.xml><?xml version="1.0" encoding="utf-8"?>
<formControlPr xmlns="http://schemas.microsoft.com/office/spreadsheetml/2009/9/main" objectType="Radio" firstButton="1" fmlaLink="$H$2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checked="Checked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$P$4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P$5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P$4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1.xml><?xml version="1.0" encoding="utf-8"?>
<formControlPr xmlns="http://schemas.microsoft.com/office/spreadsheetml/2009/9/main" objectType="CheckBox" fmlaLink="$P$9" lockText="1" noThreeD="1"/>
</file>

<file path=xl/ctrlProps/ctrlProp22.xml><?xml version="1.0" encoding="utf-8"?>
<formControlPr xmlns="http://schemas.microsoft.com/office/spreadsheetml/2009/9/main" objectType="CheckBox" fmlaLink="$P$10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P$13" lockText="1" noThreeD="1"/>
</file>

<file path=xl/ctrlProps/ctrlProp26.xml><?xml version="1.0" encoding="utf-8"?>
<formControlPr xmlns="http://schemas.microsoft.com/office/spreadsheetml/2009/9/main" objectType="CheckBox" fmlaLink="$P$14" lockText="1" noThreeD="1"/>
</file>

<file path=xl/ctrlProps/ctrlProp27.xml><?xml version="1.0" encoding="utf-8"?>
<formControlPr xmlns="http://schemas.microsoft.com/office/spreadsheetml/2009/9/main" objectType="CheckBox" fmlaLink="$P$6" lockText="1" noThreeD="1"/>
</file>

<file path=xl/ctrlProps/ctrlProp28.xml><?xml version="1.0" encoding="utf-8"?>
<formControlPr xmlns="http://schemas.microsoft.com/office/spreadsheetml/2009/9/main" objectType="CheckBox" fmlaLink="$P$11" lockText="1" noThreeD="1"/>
</file>

<file path=xl/ctrlProps/ctrlProp29.xml><?xml version="1.0" encoding="utf-8"?>
<formControlPr xmlns="http://schemas.microsoft.com/office/spreadsheetml/2009/9/main" objectType="CheckBox" fmlaLink="$P$4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16" lockText="1" noThreeD="1"/>
</file>

<file path=xl/ctrlProps/ctrlProp31.xml><?xml version="1.0" encoding="utf-8"?>
<formControlPr xmlns="http://schemas.microsoft.com/office/spreadsheetml/2009/9/main" objectType="CheckBox" fmlaLink="$P$5" lockText="1" noThreeD="1"/>
</file>

<file path=xl/ctrlProps/ctrlProp32.xml><?xml version="1.0" encoding="utf-8"?>
<formControlPr xmlns="http://schemas.microsoft.com/office/spreadsheetml/2009/9/main" objectType="CheckBox" fmlaLink="$P$8" lockText="1" noThreeD="1"/>
</file>

<file path=xl/ctrlProps/ctrlProp33.xml><?xml version="1.0" encoding="utf-8"?>
<formControlPr xmlns="http://schemas.microsoft.com/office/spreadsheetml/2009/9/main" objectType="CheckBox" fmlaLink="$P$9" lockText="1" noThreeD="1"/>
</file>

<file path=xl/ctrlProps/ctrlProp34.xml><?xml version="1.0" encoding="utf-8"?>
<formControlPr xmlns="http://schemas.microsoft.com/office/spreadsheetml/2009/9/main" objectType="CheckBox" fmlaLink="$P$10" lockText="1" noThreeD="1"/>
</file>

<file path=xl/ctrlProps/ctrlProp35.xml><?xml version="1.0" encoding="utf-8"?>
<formControlPr xmlns="http://schemas.microsoft.com/office/spreadsheetml/2009/9/main" objectType="CheckBox" fmlaLink="$P$12" lockText="1" noThreeD="1"/>
</file>

<file path=xl/ctrlProps/ctrlProp36.xml><?xml version="1.0" encoding="utf-8"?>
<formControlPr xmlns="http://schemas.microsoft.com/office/spreadsheetml/2009/9/main" objectType="CheckBox" fmlaLink="$P$7" lockText="1" noThreeD="1"/>
</file>

<file path=xl/ctrlProps/ctrlProp37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P$14" lockText="1" noThreeD="1"/>
</file>

<file path=xl/ctrlProps/ctrlProp39.xml><?xml version="1.0" encoding="utf-8"?>
<formControlPr xmlns="http://schemas.microsoft.com/office/spreadsheetml/2009/9/main" objectType="CheckBox" fmlaLink="$P$15" lockText="1" noThreeD="1"/>
</file>

<file path=xl/ctrlProps/ctrlProp4.xml><?xml version="1.0" encoding="utf-8"?>
<formControlPr xmlns="http://schemas.microsoft.com/office/spreadsheetml/2009/9/main" objectType="CheckBox" fmlaLink="$P$9" lockText="1" noThreeD="1"/>
</file>

<file path=xl/ctrlProps/ctrlProp40.xml><?xml version="1.0" encoding="utf-8"?>
<formControlPr xmlns="http://schemas.microsoft.com/office/spreadsheetml/2009/9/main" objectType="CheckBox" fmlaLink="$Q$5" lockText="1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12" lockText="1" noThreeD="1"/>
</file>

<file path=xl/ctrlProps/ctrlProp43.xml><?xml version="1.0" encoding="utf-8"?>
<formControlPr xmlns="http://schemas.microsoft.com/office/spreadsheetml/2009/9/main" objectType="CheckBox" fmlaLink="$Q$3" lockText="1" noThreeD="1"/>
</file>

<file path=xl/ctrlProps/ctrlProp44.xml><?xml version="1.0" encoding="utf-8"?>
<formControlPr xmlns="http://schemas.microsoft.com/office/spreadsheetml/2009/9/main" objectType="CheckBox" fmlaLink="$Q$13" lockText="1" noThreeD="1"/>
</file>

<file path=xl/ctrlProps/ctrlProp45.xml><?xml version="1.0" encoding="utf-8"?>
<formControlPr xmlns="http://schemas.microsoft.com/office/spreadsheetml/2009/9/main" objectType="CheckBox" fmlaLink="$Q$7" noThreeD="1"/>
</file>

<file path=xl/ctrlProps/ctrlProp46.xml><?xml version="1.0" encoding="utf-8"?>
<formControlPr xmlns="http://schemas.microsoft.com/office/spreadsheetml/2009/9/main" objectType="CheckBox" fmlaLink="$Q$6" lockText="1" noThreeD="1"/>
</file>

<file path=xl/ctrlProps/ctrlProp47.xml><?xml version="1.0" encoding="utf-8"?>
<formControlPr xmlns="http://schemas.microsoft.com/office/spreadsheetml/2009/9/main" objectType="CheckBox" fmlaLink="$Q$4" lockText="1" noThreeD="1"/>
</file>

<file path=xl/ctrlProps/ctrlProp48.xml><?xml version="1.0" encoding="utf-8"?>
<formControlPr xmlns="http://schemas.microsoft.com/office/spreadsheetml/2009/9/main" objectType="CheckBox" fmlaLink="$Q$8" lockText="1" noThreeD="1"/>
</file>

<file path=xl/ctrlProps/ctrlProp49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checked="Checked" fmlaLink="$P$7" lockText="1" noThreeD="1"/>
</file>

<file path=xl/ctrlProps/ctrlProp50.xml><?xml version="1.0" encoding="utf-8"?>
<formControlPr xmlns="http://schemas.microsoft.com/office/spreadsheetml/2009/9/main" objectType="CheckBox" fmlaLink="$Q$11" lockText="1" noThreeD="1"/>
</file>

<file path=xl/ctrlProps/ctrlProp51.xml><?xml version="1.0" encoding="utf-8"?>
<formControlPr xmlns="http://schemas.microsoft.com/office/spreadsheetml/2009/9/main" objectType="CheckBox" fmlaLink="$Q$14" lockText="1" noThreeD="1"/>
</file>

<file path=xl/ctrlProps/ctrlProp52.xml><?xml version="1.0" encoding="utf-8"?>
<formControlPr xmlns="http://schemas.microsoft.com/office/spreadsheetml/2009/9/main" objectType="CheckBox" fmlaLink="$Q$15" lockText="1" noThreeD="1"/>
</file>

<file path=xl/ctrlProps/ctrlProp53.xml><?xml version="1.0" encoding="utf-8"?>
<formControlPr xmlns="http://schemas.microsoft.com/office/spreadsheetml/2009/9/main" objectType="CheckBox" fmlaLink="$Q$16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5.xml><?xml version="1.0" encoding="utf-8"?>
<formControlPr xmlns="http://schemas.microsoft.com/office/spreadsheetml/2009/9/main" objectType="CheckBox" fmlaLink="$Q$8" lockText="1" noThreeD="1"/>
</file>

<file path=xl/ctrlProps/ctrlProp56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4" lockText="1" noThreeD="1"/>
</file>

<file path=xl/ctrlProps/ctrlProp58.xml><?xml version="1.0" encoding="utf-8"?>
<formControlPr xmlns="http://schemas.microsoft.com/office/spreadsheetml/2009/9/main" objectType="CheckBox" fmlaLink="$Q$12" lockText="1" noThreeD="1"/>
</file>

<file path=xl/ctrlProps/ctrlProp59.xml><?xml version="1.0" encoding="utf-8"?>
<formControlPr xmlns="http://schemas.microsoft.com/office/spreadsheetml/2009/9/main" objectType="CheckBox" fmlaLink="$Q$5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7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3" lockText="1" noThreeD="1"/>
</file>

<file path=xl/ctrlProps/ctrlProp63.xml><?xml version="1.0" encoding="utf-8"?>
<formControlPr xmlns="http://schemas.microsoft.com/office/spreadsheetml/2009/9/main" objectType="CheckBox" fmlaLink="$Q$10" lockText="1" noThreeD="1"/>
</file>

<file path=xl/ctrlProps/ctrlProp64.xml><?xml version="1.0" encoding="utf-8"?>
<formControlPr xmlns="http://schemas.microsoft.com/office/spreadsheetml/2009/9/main" objectType="CheckBox" fmlaLink="$Q$3" lockText="1" noThreeD="1"/>
</file>

<file path=xl/ctrlProps/ctrlProp65.xml><?xml version="1.0" encoding="utf-8"?>
<formControlPr xmlns="http://schemas.microsoft.com/office/spreadsheetml/2009/9/main" objectType="CheckBox" fmlaLink="$Q$4" lockText="1" noThreeD="1"/>
</file>

<file path=xl/ctrlProps/ctrlProp66.xml><?xml version="1.0" encoding="utf-8"?>
<formControlPr xmlns="http://schemas.microsoft.com/office/spreadsheetml/2009/9/main" objectType="CheckBox" fmlaLink="$Q$8" lockText="1" noThreeD="1"/>
</file>

<file path=xl/ctrlProps/ctrlProp67.xml><?xml version="1.0" encoding="utf-8"?>
<formControlPr xmlns="http://schemas.microsoft.com/office/spreadsheetml/2009/9/main" objectType="CheckBox" fmlaLink="$Q$9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9.xml><?xml version="1.0" encoding="utf-8"?>
<formControlPr xmlns="http://schemas.microsoft.com/office/spreadsheetml/2009/9/main" objectType="CheckBox" fmlaLink="$Q$12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13" lockText="1" noThreeD="1"/>
</file>

<file path=xl/ctrlProps/ctrlProp71.xml><?xml version="1.0" encoding="utf-8"?>
<formControlPr xmlns="http://schemas.microsoft.com/office/spreadsheetml/2009/9/main" objectType="CheckBox" fmlaLink="$Q$14" noThreeD="1"/>
</file>

<file path=xl/ctrlProps/ctrlProp72.xml><?xml version="1.0" encoding="utf-8"?>
<formControlPr xmlns="http://schemas.microsoft.com/office/spreadsheetml/2009/9/main" objectType="CheckBox" fmlaLink="$Q$15" lockText="1" noThreeD="1"/>
</file>

<file path=xl/ctrlProps/ctrlProp73.xml><?xml version="1.0" encoding="utf-8"?>
<formControlPr xmlns="http://schemas.microsoft.com/office/spreadsheetml/2009/9/main" objectType="CheckBox" fmlaLink="$Q$12" lockText="1" noThreeD="1"/>
</file>

<file path=xl/ctrlProps/ctrlProp74.xml><?xml version="1.0" encoding="utf-8"?>
<formControlPr xmlns="http://schemas.microsoft.com/office/spreadsheetml/2009/9/main" objectType="CheckBox" fmlaLink="$Q$7" lockText="1" noThreeD="1"/>
</file>

<file path=xl/ctrlProps/ctrlProp75.xml><?xml version="1.0" encoding="utf-8"?>
<formControlPr xmlns="http://schemas.microsoft.com/office/spreadsheetml/2009/9/main" objectType="CheckBox" fmlaLink="$Q$5" lockText="1" noThreeD="1"/>
</file>

<file path=xl/ctrlProps/ctrlProp76.xml><?xml version="1.0" encoding="utf-8"?>
<formControlPr xmlns="http://schemas.microsoft.com/office/spreadsheetml/2009/9/main" objectType="CheckBox" fmlaLink="$Q$15" lockText="1" noThreeD="1"/>
</file>

<file path=xl/ctrlProps/ctrlProp77.xml><?xml version="1.0" encoding="utf-8"?>
<formControlPr xmlns="http://schemas.microsoft.com/office/spreadsheetml/2009/9/main" objectType="CheckBox" fmlaLink="$Q$14" lockText="1" noThreeD="1"/>
</file>

<file path=xl/ctrlProps/ctrlProp78.xml><?xml version="1.0" encoding="utf-8"?>
<formControlPr xmlns="http://schemas.microsoft.com/office/spreadsheetml/2009/9/main" objectType="CheckBox" fmlaLink="$Q$5" lockText="1" noThreeD="1"/>
</file>

<file path=xl/ctrlProps/ctrlProp79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3" lockText="1" noThreeD="1"/>
</file>

<file path=xl/ctrlProps/ctrlProp81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4" lockText="1" noThreeD="1"/>
</file>

<file path=xl/ctrlProps/ctrlProp83.xml><?xml version="1.0" encoding="utf-8"?>
<formControlPr xmlns="http://schemas.microsoft.com/office/spreadsheetml/2009/9/main" objectType="CheckBox" fmlaLink="$Q$7" lockText="1" noThreeD="1"/>
</file>

<file path=xl/ctrlProps/ctrlProp84.xml><?xml version="1.0" encoding="utf-8"?>
<formControlPr xmlns="http://schemas.microsoft.com/office/spreadsheetml/2009/9/main" objectType="CheckBox" fmlaLink="$Q$11" lockText="1" noThreeD="1"/>
</file>

<file path=xl/ctrlProps/ctrlProp85.xml><?xml version="1.0" encoding="utf-8"?>
<formControlPr xmlns="http://schemas.microsoft.com/office/spreadsheetml/2009/9/main" objectType="CheckBox" fmlaLink="$Q$14" lockText="1" noThreeD="1"/>
</file>

<file path=xl/ctrlProps/ctrlProp86.xml><?xml version="1.0" encoding="utf-8"?>
<formControlPr xmlns="http://schemas.microsoft.com/office/spreadsheetml/2009/9/main" objectType="CheckBox" fmlaLink="$Q$16" lockText="1" noThreeD="1"/>
</file>

<file path=xl/ctrlProps/ctrlProp87.xml><?xml version="1.0" encoding="utf-8"?>
<formControlPr xmlns="http://schemas.microsoft.com/office/spreadsheetml/2009/9/main" objectType="CheckBox" fmlaLink="$Q$6" lockText="1" noThreeD="1"/>
</file>

<file path=xl/ctrlProps/ctrlProp88.xml><?xml version="1.0" encoding="utf-8"?>
<formControlPr xmlns="http://schemas.microsoft.com/office/spreadsheetml/2009/9/main" objectType="CheckBox" fmlaLink="$Q$8" lockText="1" noThreeD="1"/>
</file>

<file path=xl/ctrlProps/ctrlProp89.xml><?xml version="1.0" encoding="utf-8"?>
<formControlPr xmlns="http://schemas.microsoft.com/office/spreadsheetml/2009/9/main" objectType="Radio" firstButton="1" fmlaLink="$Q$5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R$3" lockText="1" noThreeD="1"/>
</file>

<file path=xl/ctrlProps/ctrlProp99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304800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5</xdr:col>
          <xdr:colOff>342900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5</xdr:col>
          <xdr:colOff>342900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4</xdr:col>
          <xdr:colOff>742950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5</xdr:col>
          <xdr:colOff>342900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1114425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5</xdr:col>
          <xdr:colOff>352425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5</xdr:col>
          <xdr:colOff>352425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5</xdr:col>
          <xdr:colOff>352425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161925</xdr:rowOff>
        </xdr:from>
        <xdr:to>
          <xdr:col>7</xdr:col>
          <xdr:colOff>876300</xdr:colOff>
          <xdr:row>15</xdr:row>
          <xdr:rowOff>66675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1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190500</xdr:rowOff>
        </xdr:from>
        <xdr:to>
          <xdr:col>6</xdr:col>
          <xdr:colOff>685800</xdr:colOff>
          <xdr:row>16</xdr:row>
          <xdr:rowOff>57150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1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95250</xdr:rowOff>
        </xdr:from>
        <xdr:to>
          <xdr:col>5</xdr:col>
          <xdr:colOff>371475</xdr:colOff>
          <xdr:row>8</xdr:row>
          <xdr:rowOff>114300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257175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6</xdr:col>
          <xdr:colOff>895350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8</xdr:col>
          <xdr:colOff>809625</xdr:colOff>
          <xdr:row>10</xdr:row>
          <xdr:rowOff>47625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A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95250</xdr:rowOff>
        </xdr:from>
        <xdr:to>
          <xdr:col>8</xdr:col>
          <xdr:colOff>47625</xdr:colOff>
          <xdr:row>10</xdr:row>
          <xdr:rowOff>323850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A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6</xdr:col>
          <xdr:colOff>666750</xdr:colOff>
          <xdr:row>8</xdr:row>
          <xdr:rowOff>123825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371475</xdr:colOff>
          <xdr:row>11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6</xdr:col>
          <xdr:colOff>666750</xdr:colOff>
          <xdr:row>3</xdr:row>
          <xdr:rowOff>333375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123825</xdr:rowOff>
        </xdr:from>
        <xdr:to>
          <xdr:col>7</xdr:col>
          <xdr:colOff>952500</xdr:colOff>
          <xdr:row>13</xdr:row>
          <xdr:rowOff>114300</xdr:rowOff>
        </xdr:to>
        <xdr:sp macro="" textlink="">
          <xdr:nvSpPr>
            <xdr:cNvPr id="25604" name="Check Box 4" descr="Tengeri hajón, fedélzeti személyzet tagjaként legalább 9 hónap munkatapasztalat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Tengeri hajón, fedélzeti személyzet tagjaként legalább 9 hónap munkatapasztalat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666750</xdr:colOff>
          <xdr:row>5</xdr:row>
          <xdr:rowOff>171450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257175</xdr:colOff>
          <xdr:row>9</xdr:row>
          <xdr:rowOff>171450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5</xdr:col>
          <xdr:colOff>257175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5</xdr:col>
          <xdr:colOff>371475</xdr:colOff>
          <xdr:row>14</xdr:row>
          <xdr:rowOff>123825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6</xdr:col>
          <xdr:colOff>666750</xdr:colOff>
          <xdr:row>7</xdr:row>
          <xdr:rowOff>57150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6</xdr:col>
          <xdr:colOff>666750</xdr:colOff>
          <xdr:row>3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142875</xdr:rowOff>
        </xdr:from>
        <xdr:to>
          <xdr:col>8</xdr:col>
          <xdr:colOff>933450</xdr:colOff>
          <xdr:row>15</xdr:row>
          <xdr:rowOff>200025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B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C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C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C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C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C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C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142875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123825</xdr:rowOff>
        </xdr:from>
        <xdr:to>
          <xdr:col>9</xdr:col>
          <xdr:colOff>790575</xdr:colOff>
          <xdr:row>5</xdr:row>
          <xdr:rowOff>123825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F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161925</xdr:rowOff>
        </xdr:from>
        <xdr:to>
          <xdr:col>8</xdr:col>
          <xdr:colOff>647700</xdr:colOff>
          <xdr:row>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F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114300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171450</xdr:rowOff>
        </xdr:from>
        <xdr:to>
          <xdr:col>6</xdr:col>
          <xdr:colOff>114300</xdr:colOff>
          <xdr:row>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6</xdr:col>
          <xdr:colOff>114300</xdr:colOff>
          <xdr:row>4</xdr:row>
          <xdr:rowOff>19050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9</xdr:col>
          <xdr:colOff>47625</xdr:colOff>
          <xdr:row>6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10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8</xdr:col>
          <xdr:colOff>542925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7</xdr:col>
          <xdr:colOff>819150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7</xdr:col>
          <xdr:colOff>828675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1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7</xdr:col>
          <xdr:colOff>819150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1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4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8</xdr:col>
          <xdr:colOff>295275</xdr:colOff>
          <xdr:row>5</xdr:row>
          <xdr:rowOff>200025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4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8</xdr:col>
          <xdr:colOff>571500</xdr:colOff>
          <xdr:row>6</xdr:row>
          <xdr:rowOff>276225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4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8</xdr:col>
          <xdr:colOff>295275</xdr:colOff>
          <xdr:row>8</xdr:row>
          <xdr:rowOff>47625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4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76200</xdr:rowOff>
        </xdr:from>
        <xdr:to>
          <xdr:col>8</xdr:col>
          <xdr:colOff>847725</xdr:colOff>
          <xdr:row>9</xdr:row>
          <xdr:rowOff>133350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4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209550</xdr:rowOff>
        </xdr:from>
        <xdr:to>
          <xdr:col>8</xdr:col>
          <xdr:colOff>695325</xdr:colOff>
          <xdr:row>11</xdr:row>
          <xdr:rowOff>266700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14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257175</xdr:rowOff>
        </xdr:from>
        <xdr:to>
          <xdr:col>8</xdr:col>
          <xdr:colOff>695325</xdr:colOff>
          <xdr:row>13</xdr:row>
          <xdr:rowOff>28575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14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276225</xdr:rowOff>
        </xdr:from>
        <xdr:to>
          <xdr:col>8</xdr:col>
          <xdr:colOff>695325</xdr:colOff>
          <xdr:row>14</xdr:row>
          <xdr:rowOff>47625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14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123825</xdr:rowOff>
        </xdr:from>
        <xdr:to>
          <xdr:col>8</xdr:col>
          <xdr:colOff>847725</xdr:colOff>
          <xdr:row>10</xdr:row>
          <xdr:rowOff>180975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14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161925</xdr:rowOff>
        </xdr:from>
        <xdr:to>
          <xdr:col>8</xdr:col>
          <xdr:colOff>704850</xdr:colOff>
          <xdr:row>6</xdr:row>
          <xdr:rowOff>171450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161925</xdr:rowOff>
        </xdr:from>
        <xdr:to>
          <xdr:col>8</xdr:col>
          <xdr:colOff>695325</xdr:colOff>
          <xdr:row>9</xdr:row>
          <xdr:rowOff>66675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1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8</xdr:row>
          <xdr:rowOff>209550</xdr:rowOff>
        </xdr:from>
        <xdr:to>
          <xdr:col>8</xdr:col>
          <xdr:colOff>695325</xdr:colOff>
          <xdr:row>10</xdr:row>
          <xdr:rowOff>114300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1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19050</xdr:rowOff>
        </xdr:from>
        <xdr:to>
          <xdr:col>8</xdr:col>
          <xdr:colOff>695325</xdr:colOff>
          <xdr:row>11</xdr:row>
          <xdr:rowOff>171450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1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66675</xdr:rowOff>
        </xdr:from>
        <xdr:to>
          <xdr:col>8</xdr:col>
          <xdr:colOff>847725</xdr:colOff>
          <xdr:row>7</xdr:row>
          <xdr:rowOff>190500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1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104775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6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171450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6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8</xdr:col>
          <xdr:colOff>742950</xdr:colOff>
          <xdr:row>7</xdr:row>
          <xdr:rowOff>209550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6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66675</xdr:rowOff>
        </xdr:from>
        <xdr:to>
          <xdr:col>8</xdr:col>
          <xdr:colOff>695325</xdr:colOff>
          <xdr:row>10</xdr:row>
          <xdr:rowOff>190500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16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114300</xdr:rowOff>
        </xdr:from>
        <xdr:to>
          <xdr:col>8</xdr:col>
          <xdr:colOff>695325</xdr:colOff>
          <xdr:row>12</xdr:row>
          <xdr:rowOff>28575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16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142875</xdr:rowOff>
        </xdr:from>
        <xdr:to>
          <xdr:col>8</xdr:col>
          <xdr:colOff>695325</xdr:colOff>
          <xdr:row>13</xdr:row>
          <xdr:rowOff>66675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16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152400</xdr:rowOff>
        </xdr:from>
        <xdr:to>
          <xdr:col>8</xdr:col>
          <xdr:colOff>847725</xdr:colOff>
          <xdr:row>9</xdr:row>
          <xdr:rowOff>57150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16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0</xdr:rowOff>
        </xdr:from>
        <xdr:to>
          <xdr:col>6</xdr:col>
          <xdr:colOff>571500</xdr:colOff>
          <xdr:row>6</xdr:row>
          <xdr:rowOff>57150</xdr:rowOff>
        </xdr:to>
        <xdr:sp macro="" textlink="">
          <xdr:nvSpPr>
            <xdr:cNvPr id="142337" name="Check Box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7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"C" kategóriájú hajóvezetői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38100</xdr:rowOff>
        </xdr:from>
        <xdr:to>
          <xdr:col>9</xdr:col>
          <xdr:colOff>800100</xdr:colOff>
          <xdr:row>8</xdr:row>
          <xdr:rowOff>123825</xdr:rowOff>
        </xdr:to>
        <xdr:sp macro="" textlink="">
          <xdr:nvSpPr>
            <xdr:cNvPr id="142338" name="Check Box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7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három év időtartamú, az irányítási szintű kompetenciákra vonatkozó, jóváhagyott 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95250</xdr:rowOff>
        </xdr:from>
        <xdr:to>
          <xdr:col>9</xdr:col>
          <xdr:colOff>771525</xdr:colOff>
          <xdr:row>9</xdr:row>
          <xdr:rowOff>142875</xdr:rowOff>
        </xdr:to>
        <xdr:sp macro="" textlink="">
          <xdr:nvSpPr>
            <xdr:cNvPr id="142339" name="Check Box 3" hidden="1">
              <a:extLst>
                <a:ext uri="{63B3BB69-23CF-44E3-9099-C40C66FF867C}">
                  <a14:compatExt spid="_x0000_s142339"/>
                </a:ext>
                <a:ext uri="{FF2B5EF4-FFF2-40B4-BE49-F238E27FC236}">
                  <a16:creationId xmlns:a16="http://schemas.microsoft.com/office/drawing/2014/main" id="{00000000-0008-0000-1700-000003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kormányosi képesítéssel vagy más elismert kormányosi képesítő bizonyítvánnyal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200025</xdr:rowOff>
        </xdr:from>
        <xdr:to>
          <xdr:col>7</xdr:col>
          <xdr:colOff>971550</xdr:colOff>
          <xdr:row>5</xdr:row>
          <xdr:rowOff>38100</xdr:rowOff>
        </xdr:to>
        <xdr:sp macro="" textlink="">
          <xdr:nvSpPr>
            <xdr:cNvPr id="142343" name="Check Box 7" hidden="1">
              <a:extLst>
                <a:ext uri="{63B3BB69-23CF-44E3-9099-C40C66FF867C}">
                  <a14:compatExt spid="_x0000_s142343"/>
                </a:ext>
                <a:ext uri="{FF2B5EF4-FFF2-40B4-BE49-F238E27FC236}">
                  <a16:creationId xmlns:a16="http://schemas.microsoft.com/office/drawing/2014/main" id="{00000000-0008-0000-1700-000007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„C” kategóriájú hajóvezető képesítéssel és legalább két év nagyhajóvezetői szolgálattal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180975</xdr:rowOff>
        </xdr:from>
        <xdr:to>
          <xdr:col>6</xdr:col>
          <xdr:colOff>571500</xdr:colOff>
          <xdr:row>4</xdr:row>
          <xdr:rowOff>19050</xdr:rowOff>
        </xdr:to>
        <xdr:sp macro="" textlink="">
          <xdr:nvSpPr>
            <xdr:cNvPr id="142344" name="Check Box 8" hidden="1">
              <a:extLst>
                <a:ext uri="{63B3BB69-23CF-44E3-9099-C40C66FF867C}">
                  <a14:compatExt spid="_x0000_s142344"/>
                </a:ext>
                <a:ext uri="{FF2B5EF4-FFF2-40B4-BE49-F238E27FC236}">
                  <a16:creationId xmlns:a16="http://schemas.microsoft.com/office/drawing/2014/main" id="{00000000-0008-0000-1700-000008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"A" vagy "B" kategóriájú hajóvezető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209550</xdr:rowOff>
        </xdr:from>
        <xdr:to>
          <xdr:col>9</xdr:col>
          <xdr:colOff>923925</xdr:colOff>
          <xdr:row>7</xdr:row>
          <xdr:rowOff>76200</xdr:rowOff>
        </xdr:to>
        <xdr:sp macro="" textlink="">
          <xdr:nvSpPr>
            <xdr:cNvPr id="142345" name="Check Box 9" hidden="1">
              <a:extLst>
                <a:ext uri="{63B3BB69-23CF-44E3-9099-C40C66FF867C}">
                  <a14:compatExt spid="_x0000_s142345"/>
                </a:ext>
                <a:ext uri="{FF2B5EF4-FFF2-40B4-BE49-F238E27FC236}">
                  <a16:creationId xmlns:a16="http://schemas.microsoft.com/office/drawing/2014/main" id="{00000000-0008-0000-1700-000009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Sikeresen vizsgát tett a Vizsgaközpontnál, vagy a képzési program keretében az üzemeltetési szintű kompetenciák felmérése során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219075</xdr:rowOff>
        </xdr:from>
        <xdr:to>
          <xdr:col>9</xdr:col>
          <xdr:colOff>723900</xdr:colOff>
          <xdr:row>16</xdr:row>
          <xdr:rowOff>161925</xdr:rowOff>
        </xdr:to>
        <xdr:sp macro="" textlink="">
          <xdr:nvSpPr>
            <xdr:cNvPr id="142348" name="Option Button 12" hidden="1">
              <a:extLst>
                <a:ext uri="{63B3BB69-23CF-44E3-9099-C40C66FF867C}">
                  <a14:compatExt spid="_x0000_s142348"/>
                </a:ext>
                <a:ext uri="{FF2B5EF4-FFF2-40B4-BE49-F238E27FC236}">
                  <a16:creationId xmlns:a16="http://schemas.microsoft.com/office/drawing/2014/main" id="{00000000-0008-0000-1700-00000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jóváhagyott képzési programra történő jelentkezést megelőzően megszerzett, legalább ötéves időtartamú munkatapasztalatot tud igazolni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47625</xdr:rowOff>
        </xdr:from>
        <xdr:to>
          <xdr:col>9</xdr:col>
          <xdr:colOff>733425</xdr:colOff>
          <xdr:row>18</xdr:row>
          <xdr:rowOff>9525</xdr:rowOff>
        </xdr:to>
        <xdr:sp macro="" textlink="">
          <xdr:nvSpPr>
            <xdr:cNvPr id="142349" name="Option Button 13" hidden="1">
              <a:extLst>
                <a:ext uri="{63B3BB69-23CF-44E3-9099-C40C66FF867C}">
                  <a14:compatExt spid="_x0000_s142349"/>
                </a:ext>
                <a:ext uri="{FF2B5EF4-FFF2-40B4-BE49-F238E27FC236}">
                  <a16:creationId xmlns:a16="http://schemas.microsoft.com/office/drawing/2014/main" id="{00000000-0008-0000-1700-00000D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megelőzően, tengeri hajón, a fedélzeti személyzet tagjaként megszerzett, legalább 500 nap munkatapasztalatot igazol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104775</xdr:rowOff>
        </xdr:from>
        <xdr:to>
          <xdr:col>9</xdr:col>
          <xdr:colOff>733425</xdr:colOff>
          <xdr:row>19</xdr:row>
          <xdr:rowOff>47625</xdr:rowOff>
        </xdr:to>
        <xdr:sp macro="" textlink="">
          <xdr:nvSpPr>
            <xdr:cNvPr id="142350" name="Option Button 14" hidden="1">
              <a:extLst>
                <a:ext uri="{63B3BB69-23CF-44E3-9099-C40C66FF867C}">
                  <a14:compatExt spid="_x0000_s142350"/>
                </a:ext>
                <a:ext uri="{FF2B5EF4-FFF2-40B4-BE49-F238E27FC236}">
                  <a16:creationId xmlns:a16="http://schemas.microsoft.com/office/drawing/2014/main" id="{00000000-0008-0000-1700-00000E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 elvégzett, legalább három év időtartamú szakképzési program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9</xdr:col>
          <xdr:colOff>723900</xdr:colOff>
          <xdr:row>15</xdr:row>
          <xdr:rowOff>114300</xdr:rowOff>
        </xdr:to>
        <xdr:sp macro="" textlink="">
          <xdr:nvSpPr>
            <xdr:cNvPr id="142351" name="Option Button 15" hidden="1">
              <a:extLst>
                <a:ext uri="{63B3BB69-23CF-44E3-9099-C40C66FF867C}">
                  <a14:compatExt spid="_x0000_s142351"/>
                </a:ext>
                <a:ext uri="{FF2B5EF4-FFF2-40B4-BE49-F238E27FC236}">
                  <a16:creationId xmlns:a16="http://schemas.microsoft.com/office/drawing/2014/main" id="{00000000-0008-0000-1700-00000F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Nincs további igazolás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123825</xdr:rowOff>
        </xdr:from>
        <xdr:to>
          <xdr:col>9</xdr:col>
          <xdr:colOff>781050</xdr:colOff>
          <xdr:row>10</xdr:row>
          <xdr:rowOff>171450</xdr:rowOff>
        </xdr:to>
        <xdr:sp macro="" textlink="">
          <xdr:nvSpPr>
            <xdr:cNvPr id="142352" name="Check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17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"A" képesítő bizonyítvánnyal rendelkezik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8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8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8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6</xdr:row>
          <xdr:rowOff>209550</xdr:rowOff>
        </xdr:from>
        <xdr:to>
          <xdr:col>10</xdr:col>
          <xdr:colOff>104775</xdr:colOff>
          <xdr:row>7</xdr:row>
          <xdr:rowOff>171450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19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200025</xdr:rowOff>
        </xdr:from>
        <xdr:to>
          <xdr:col>10</xdr:col>
          <xdr:colOff>66675</xdr:colOff>
          <xdr:row>6</xdr:row>
          <xdr:rowOff>133350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19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180975</xdr:rowOff>
        </xdr:from>
        <xdr:to>
          <xdr:col>10</xdr:col>
          <xdr:colOff>142875</xdr:colOff>
          <xdr:row>5</xdr:row>
          <xdr:rowOff>114300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19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7</xdr:row>
          <xdr:rowOff>247650</xdr:rowOff>
        </xdr:from>
        <xdr:to>
          <xdr:col>10</xdr:col>
          <xdr:colOff>66675</xdr:colOff>
          <xdr:row>8</xdr:row>
          <xdr:rowOff>180975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19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257175</xdr:rowOff>
        </xdr:from>
        <xdr:to>
          <xdr:col>10</xdr:col>
          <xdr:colOff>66675</xdr:colOff>
          <xdr:row>9</xdr:row>
          <xdr:rowOff>190500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19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10</xdr:row>
          <xdr:rowOff>209550</xdr:rowOff>
        </xdr:from>
        <xdr:to>
          <xdr:col>10</xdr:col>
          <xdr:colOff>66675</xdr:colOff>
          <xdr:row>11</xdr:row>
          <xdr:rowOff>142875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19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11</xdr:row>
          <xdr:rowOff>257175</xdr:rowOff>
        </xdr:from>
        <xdr:to>
          <xdr:col>10</xdr:col>
          <xdr:colOff>66675</xdr:colOff>
          <xdr:row>12</xdr:row>
          <xdr:rowOff>190500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19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</xdr:row>
          <xdr:rowOff>161925</xdr:rowOff>
        </xdr:from>
        <xdr:to>
          <xdr:col>10</xdr:col>
          <xdr:colOff>142875</xdr:colOff>
          <xdr:row>3</xdr:row>
          <xdr:rowOff>95250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19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1811-1766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171450</xdr:rowOff>
        </xdr:from>
        <xdr:to>
          <xdr:col>10</xdr:col>
          <xdr:colOff>142875</xdr:colOff>
          <xdr:row>4</xdr:row>
          <xdr:rowOff>104775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19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1766-1708 fkm közötti Duna szakasz vonalvizsgája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8</xdr:col>
          <xdr:colOff>466725</xdr:colOff>
          <xdr:row>4</xdr:row>
          <xdr:rowOff>171450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1A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2249-2259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238125</xdr:rowOff>
        </xdr:from>
        <xdr:to>
          <xdr:col>8</xdr:col>
          <xdr:colOff>466725</xdr:colOff>
          <xdr:row>5</xdr:row>
          <xdr:rowOff>171450</xdr:rowOff>
        </xdr:to>
        <xdr:sp macro="" textlink="">
          <xdr:nvSpPr>
            <xdr:cNvPr id="150532" name="Check Box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1A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2259-2269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8</xdr:col>
          <xdr:colOff>466725</xdr:colOff>
          <xdr:row>6</xdr:row>
          <xdr:rowOff>142875</xdr:rowOff>
        </xdr:to>
        <xdr:sp macro="" textlink="">
          <xdr:nvSpPr>
            <xdr:cNvPr id="150533" name="Check Box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1A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2269-2276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190500</xdr:rowOff>
        </xdr:from>
        <xdr:to>
          <xdr:col>8</xdr:col>
          <xdr:colOff>466725</xdr:colOff>
          <xdr:row>7</xdr:row>
          <xdr:rowOff>123825</xdr:rowOff>
        </xdr:to>
        <xdr:sp macro="" textlink="">
          <xdr:nvSpPr>
            <xdr:cNvPr id="150534" name="Check Box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1A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2276-2284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466725</xdr:colOff>
          <xdr:row>8</xdr:row>
          <xdr:rowOff>114300</xdr:rowOff>
        </xdr:to>
        <xdr:sp macro="" textlink="">
          <xdr:nvSpPr>
            <xdr:cNvPr id="150535" name="Check Box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1A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2284-2295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161925</xdr:rowOff>
        </xdr:from>
        <xdr:to>
          <xdr:col>8</xdr:col>
          <xdr:colOff>466725</xdr:colOff>
          <xdr:row>9</xdr:row>
          <xdr:rowOff>95250</xdr:rowOff>
        </xdr:to>
        <xdr:sp macro="" textlink="">
          <xdr:nvSpPr>
            <xdr:cNvPr id="150536" name="Check Box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1A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2295-2305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142875</xdr:rowOff>
        </xdr:from>
        <xdr:to>
          <xdr:col>8</xdr:col>
          <xdr:colOff>466725</xdr:colOff>
          <xdr:row>10</xdr:row>
          <xdr:rowOff>76200</xdr:rowOff>
        </xdr:to>
        <xdr:sp macro="" textlink="">
          <xdr:nvSpPr>
            <xdr:cNvPr id="150537" name="Check Box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1A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2305-2314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8</xdr:col>
          <xdr:colOff>466725</xdr:colOff>
          <xdr:row>11</xdr:row>
          <xdr:rowOff>66675</xdr:rowOff>
        </xdr:to>
        <xdr:sp macro="" textlink="">
          <xdr:nvSpPr>
            <xdr:cNvPr id="150538" name="Check Box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1A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2314-2322 fkm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2</xdr:col>
          <xdr:colOff>361950</xdr:colOff>
          <xdr:row>5</xdr:row>
          <xdr:rowOff>95250</xdr:rowOff>
        </xdr:to>
        <xdr:sp macro="" textlink="">
          <xdr:nvSpPr>
            <xdr:cNvPr id="163841" name="Check Box 1" descr="Rajna: 335.66 - 425.00 fkm (Iffezheim - Mannheim)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1B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Rajna 335.66-425.00 fkm (Iffezheim - Mannheim) Rajna 498.45-592.00 fkm (Mainz - Koblenz)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C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7</xdr:col>
          <xdr:colOff>295275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D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E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F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2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2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2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2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20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20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20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20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20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20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20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20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20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20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20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20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20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20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20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20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20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20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20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20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20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20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20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20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20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104775</xdr:rowOff>
        </xdr:from>
        <xdr:to>
          <xdr:col>6</xdr:col>
          <xdr:colOff>47625</xdr:colOff>
          <xdr:row>5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114300</xdr:rowOff>
        </xdr:from>
        <xdr:to>
          <xdr:col>7</xdr:col>
          <xdr:colOff>1076325</xdr:colOff>
          <xdr:row>11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6</xdr:col>
          <xdr:colOff>47625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95250</xdr:rowOff>
        </xdr:from>
        <xdr:to>
          <xdr:col>4</xdr:col>
          <xdr:colOff>1000125</xdr:colOff>
          <xdr:row>13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57150</xdr:rowOff>
        </xdr:from>
        <xdr:to>
          <xdr:col>6</xdr:col>
          <xdr:colOff>47625</xdr:colOff>
          <xdr:row>4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19050</xdr:rowOff>
        </xdr:from>
        <xdr:to>
          <xdr:col>4</xdr:col>
          <xdr:colOff>885825</xdr:colOff>
          <xdr:row>7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247650</xdr:rowOff>
        </xdr:from>
        <xdr:to>
          <xdr:col>4</xdr:col>
          <xdr:colOff>885825</xdr:colOff>
          <xdr:row>8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66675</xdr:rowOff>
        </xdr:from>
        <xdr:to>
          <xdr:col>4</xdr:col>
          <xdr:colOff>885825</xdr:colOff>
          <xdr:row>8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66675</xdr:rowOff>
        </xdr:from>
        <xdr:to>
          <xdr:col>4</xdr:col>
          <xdr:colOff>885825</xdr:colOff>
          <xdr:row>12</xdr:row>
          <xdr:rowOff>95250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161925</xdr:rowOff>
        </xdr:from>
        <xdr:to>
          <xdr:col>6</xdr:col>
          <xdr:colOff>47625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123825</xdr:rowOff>
        </xdr:from>
        <xdr:to>
          <xdr:col>6</xdr:col>
          <xdr:colOff>609600</xdr:colOff>
          <xdr:row>14</xdr:row>
          <xdr:rowOff>142875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295275</xdr:rowOff>
        </xdr:from>
        <xdr:to>
          <xdr:col>4</xdr:col>
          <xdr:colOff>885825</xdr:colOff>
          <xdr:row>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5</xdr:col>
          <xdr:colOff>1095375</xdr:colOff>
          <xdr:row>4</xdr:row>
          <xdr:rowOff>200025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6</xdr:col>
          <xdr:colOff>790575</xdr:colOff>
          <xdr:row>9</xdr:row>
          <xdr:rowOff>219075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1095375</xdr:colOff>
          <xdr:row>2</xdr:row>
          <xdr:rowOff>238125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66675</xdr:rowOff>
        </xdr:from>
        <xdr:to>
          <xdr:col>4</xdr:col>
          <xdr:colOff>942975</xdr:colOff>
          <xdr:row>13</xdr:row>
          <xdr:rowOff>28575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219075</xdr:rowOff>
        </xdr:from>
        <xdr:to>
          <xdr:col>5</xdr:col>
          <xdr:colOff>1095375</xdr:colOff>
          <xdr:row>3</xdr:row>
          <xdr:rowOff>209550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4</xdr:col>
          <xdr:colOff>828675</xdr:colOff>
          <xdr:row>6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4</xdr:col>
          <xdr:colOff>828675</xdr:colOff>
          <xdr:row>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161925</xdr:rowOff>
        </xdr:from>
        <xdr:to>
          <xdr:col>4</xdr:col>
          <xdr:colOff>828675</xdr:colOff>
          <xdr:row>8</xdr:row>
          <xdr:rowOff>133350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4</xdr:col>
          <xdr:colOff>828675</xdr:colOff>
          <xdr:row>12</xdr:row>
          <xdr:rowOff>57150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209550</xdr:rowOff>
        </xdr:from>
        <xdr:to>
          <xdr:col>5</xdr:col>
          <xdr:colOff>1095375</xdr:colOff>
          <xdr:row>5</xdr:row>
          <xdr:rowOff>200025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28575</xdr:rowOff>
        </xdr:from>
        <xdr:to>
          <xdr:col>6</xdr:col>
          <xdr:colOff>514350</xdr:colOff>
          <xdr:row>13</xdr:row>
          <xdr:rowOff>238125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0</xdr:rowOff>
        </xdr:from>
        <xdr:to>
          <xdr:col>6</xdr:col>
          <xdr:colOff>514350</xdr:colOff>
          <xdr:row>14</xdr:row>
          <xdr:rowOff>209550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0</xdr:rowOff>
        </xdr:from>
        <xdr:to>
          <xdr:col>7</xdr:col>
          <xdr:colOff>742950</xdr:colOff>
          <xdr:row>11</xdr:row>
          <xdr:rowOff>76200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6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6</xdr:col>
          <xdr:colOff>428625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9525</xdr:rowOff>
        </xdr:from>
        <xdr:to>
          <xdr:col>5</xdr:col>
          <xdr:colOff>66675</xdr:colOff>
          <xdr:row>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228600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180975</xdr:rowOff>
        </xdr:from>
        <xdr:to>
          <xdr:col>5</xdr:col>
          <xdr:colOff>180975</xdr:colOff>
          <xdr:row>14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238125</xdr:rowOff>
        </xdr:from>
        <xdr:to>
          <xdr:col>6</xdr:col>
          <xdr:colOff>428625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219075</xdr:rowOff>
        </xdr:from>
        <xdr:to>
          <xdr:col>6</xdr:col>
          <xdr:colOff>428625</xdr:colOff>
          <xdr:row>5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190500</xdr:rowOff>
        </xdr:from>
        <xdr:to>
          <xdr:col>6</xdr:col>
          <xdr:colOff>428625</xdr:colOff>
          <xdr:row>3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</xdr:rowOff>
        </xdr:from>
        <xdr:to>
          <xdr:col>5</xdr:col>
          <xdr:colOff>66675</xdr:colOff>
          <xdr:row>7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0</xdr:rowOff>
        </xdr:from>
        <xdr:to>
          <xdr:col>5</xdr:col>
          <xdr:colOff>66675</xdr:colOff>
          <xdr:row>9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238125</xdr:rowOff>
        </xdr:from>
        <xdr:to>
          <xdr:col>5</xdr:col>
          <xdr:colOff>66675</xdr:colOff>
          <xdr:row>10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66675</xdr:colOff>
          <xdr:row>15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352425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57150</xdr:rowOff>
        </xdr:from>
        <xdr:to>
          <xdr:col>8</xdr:col>
          <xdr:colOff>533400</xdr:colOff>
          <xdr:row>12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7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142875</xdr:colOff>
          <xdr:row>5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4</xdr:col>
          <xdr:colOff>942975</xdr:colOff>
          <xdr:row>7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4</xdr:col>
          <xdr:colOff>1057275</xdr:colOff>
          <xdr:row>9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85725</xdr:colOff>
          <xdr:row>2</xdr:row>
          <xdr:rowOff>238125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4</xdr:col>
          <xdr:colOff>1057275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142875</xdr:colOff>
          <xdr:row>4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4</xdr:col>
          <xdr:colOff>942975</xdr:colOff>
          <xdr:row>6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4</xdr:col>
          <xdr:colOff>942975</xdr:colOff>
          <xdr:row>8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28575</xdr:rowOff>
        </xdr:from>
        <xdr:to>
          <xdr:col>8</xdr:col>
          <xdr:colOff>742950</xdr:colOff>
          <xdr:row>11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7</xdr:col>
          <xdr:colOff>695325</xdr:colOff>
          <xdr:row>9</xdr:row>
          <xdr:rowOff>152400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95250</xdr:rowOff>
        </xdr:from>
        <xdr:to>
          <xdr:col>6</xdr:col>
          <xdr:colOff>523875</xdr:colOff>
          <xdr:row>5</xdr:row>
          <xdr:rowOff>114300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123825</xdr:rowOff>
        </xdr:from>
        <xdr:to>
          <xdr:col>6</xdr:col>
          <xdr:colOff>523875</xdr:colOff>
          <xdr:row>6</xdr:row>
          <xdr:rowOff>142875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142875</xdr:rowOff>
        </xdr:from>
        <xdr:to>
          <xdr:col>5</xdr:col>
          <xdr:colOff>142875</xdr:colOff>
          <xdr:row>7</xdr:row>
          <xdr:rowOff>142875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142875</xdr:rowOff>
        </xdr:from>
        <xdr:to>
          <xdr:col>5</xdr:col>
          <xdr:colOff>142875</xdr:colOff>
          <xdr:row>8</xdr:row>
          <xdr:rowOff>142875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142875</xdr:colOff>
          <xdr:row>10</xdr:row>
          <xdr:rowOff>161925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104775</xdr:rowOff>
        </xdr:from>
        <xdr:to>
          <xdr:col>7</xdr:col>
          <xdr:colOff>600075</xdr:colOff>
          <xdr:row>4</xdr:row>
          <xdr:rowOff>95250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161925</xdr:rowOff>
        </xdr:from>
        <xdr:to>
          <xdr:col>5</xdr:col>
          <xdr:colOff>142875</xdr:colOff>
          <xdr:row>11</xdr:row>
          <xdr:rowOff>161925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114300</xdr:rowOff>
        </xdr:from>
        <xdr:to>
          <xdr:col>7</xdr:col>
          <xdr:colOff>600075</xdr:colOff>
          <xdr:row>3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 "A" vagy "B" vagy "C" kategóriájú hajóvezető vagy fedélzeti tiszt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161925</xdr:rowOff>
        </xdr:from>
        <xdr:to>
          <xdr:col>8</xdr:col>
          <xdr:colOff>904875</xdr:colOff>
          <xdr:row>13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104.xml"/><Relationship Id="rId5" Type="http://schemas.openxmlformats.org/officeDocument/2006/relationships/ctrlProp" Target="../ctrlProps/ctrlProp103.xml"/><Relationship Id="rId4" Type="http://schemas.openxmlformats.org/officeDocument/2006/relationships/ctrlProp" Target="../ctrlProps/ctrlProp1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07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2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11.xml"/><Relationship Id="rId12" Type="http://schemas.openxmlformats.org/officeDocument/2006/relationships/ctrlProp" Target="../ctrlProps/ctrlProp1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10.xml"/><Relationship Id="rId11" Type="http://schemas.openxmlformats.org/officeDocument/2006/relationships/ctrlProp" Target="../ctrlProps/ctrlProp115.xml"/><Relationship Id="rId5" Type="http://schemas.openxmlformats.org/officeDocument/2006/relationships/ctrlProp" Target="../ctrlProps/ctrlProp109.xml"/><Relationship Id="rId10" Type="http://schemas.openxmlformats.org/officeDocument/2006/relationships/ctrlProp" Target="../ctrlProps/ctrlProp114.xml"/><Relationship Id="rId4" Type="http://schemas.openxmlformats.org/officeDocument/2006/relationships/ctrlProp" Target="../ctrlProps/ctrlProp108.xml"/><Relationship Id="rId9" Type="http://schemas.openxmlformats.org/officeDocument/2006/relationships/ctrlProp" Target="../ctrlProps/ctrlProp113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5" Type="http://schemas.openxmlformats.org/officeDocument/2006/relationships/ctrlProp" Target="../ctrlProps/ctrlProp131.xml"/><Relationship Id="rId10" Type="http://schemas.openxmlformats.org/officeDocument/2006/relationships/ctrlProp" Target="../ctrlProps/ctrlProp136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56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0" Type="http://schemas.openxmlformats.org/officeDocument/2006/relationships/ctrlProp" Target="../ctrlProps/ctrlProp159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161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6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63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64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165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1.xml"/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" Type="http://schemas.openxmlformats.org/officeDocument/2006/relationships/ctrlProp" Target="../ctrlProps/ctrlProp166.xml"/><Relationship Id="rId21" Type="http://schemas.openxmlformats.org/officeDocument/2006/relationships/ctrlProp" Target="../ctrlProps/ctrlProp184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2" Type="http://schemas.openxmlformats.org/officeDocument/2006/relationships/vmlDrawing" Target="../drawings/vmlDrawing30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30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44"/>
  <sheetViews>
    <sheetView tabSelected="1" zoomScale="110" zoomScaleNormal="110" workbookViewId="0">
      <selection activeCell="H43" sqref="H43"/>
    </sheetView>
  </sheetViews>
  <sheetFormatPr defaultRowHeight="15" x14ac:dyDescent="0.25"/>
  <cols>
    <col min="1" max="1" width="2" customWidth="1"/>
    <col min="2" max="2" width="40.7109375" style="19" customWidth="1"/>
    <col min="3" max="3" width="2.42578125" style="19" customWidth="1"/>
    <col min="4" max="4" width="2.140625" style="19" customWidth="1"/>
    <col min="5" max="5" width="3.42578125" customWidth="1"/>
    <col min="6" max="6" width="45.5703125" customWidth="1"/>
    <col min="7" max="7" width="1.42578125" customWidth="1"/>
    <col min="8" max="8" width="43.42578125" customWidth="1"/>
    <col min="9" max="9" width="3.42578125" customWidth="1"/>
  </cols>
  <sheetData>
    <row r="1" spans="1:10" ht="24.95" customHeight="1" x14ac:dyDescent="0.25">
      <c r="B1" s="141" t="s">
        <v>268</v>
      </c>
      <c r="C1" s="141"/>
      <c r="D1" s="141"/>
      <c r="E1" s="141"/>
      <c r="F1" s="141"/>
      <c r="G1" s="141"/>
      <c r="H1" s="141"/>
    </row>
    <row r="2" spans="1:10" ht="15" customHeight="1" x14ac:dyDescent="0.25">
      <c r="A2" s="8"/>
      <c r="B2" s="115" t="s">
        <v>266</v>
      </c>
      <c r="C2" s="115"/>
      <c r="D2" s="114"/>
      <c r="E2" s="115"/>
      <c r="F2" s="145" t="s">
        <v>267</v>
      </c>
      <c r="G2" s="145"/>
      <c r="H2" s="145"/>
      <c r="I2" s="8"/>
    </row>
    <row r="3" spans="1:10" ht="31.5" customHeight="1" x14ac:dyDescent="0.25">
      <c r="A3" s="8"/>
      <c r="B3" s="111" t="s">
        <v>115</v>
      </c>
      <c r="C3" s="116"/>
      <c r="D3" s="117"/>
      <c r="E3" s="115"/>
      <c r="F3" s="111" t="s">
        <v>272</v>
      </c>
      <c r="G3" s="8"/>
      <c r="H3" s="113" t="s">
        <v>270</v>
      </c>
      <c r="I3" s="8"/>
    </row>
    <row r="4" spans="1:10" ht="31.5" customHeight="1" x14ac:dyDescent="0.25">
      <c r="A4" s="8"/>
      <c r="B4" s="112" t="s">
        <v>120</v>
      </c>
      <c r="C4" s="118"/>
      <c r="D4" s="119"/>
      <c r="E4" s="115"/>
      <c r="F4" s="111" t="s">
        <v>141</v>
      </c>
      <c r="G4" s="8"/>
      <c r="H4" s="111" t="s">
        <v>275</v>
      </c>
      <c r="I4" s="120"/>
    </row>
    <row r="5" spans="1:10" ht="31.5" customHeight="1" x14ac:dyDescent="0.25">
      <c r="A5" s="8"/>
      <c r="B5" s="111" t="s">
        <v>122</v>
      </c>
      <c r="C5" s="116"/>
      <c r="D5" s="117"/>
      <c r="E5" s="115"/>
      <c r="F5" s="111" t="s">
        <v>148</v>
      </c>
      <c r="G5" s="8"/>
      <c r="H5" s="111" t="s">
        <v>276</v>
      </c>
      <c r="I5" s="120"/>
    </row>
    <row r="6" spans="1:10" ht="31.5" customHeight="1" x14ac:dyDescent="0.25">
      <c r="A6" s="8"/>
      <c r="B6" s="111" t="s">
        <v>16</v>
      </c>
      <c r="C6" s="116"/>
      <c r="E6" s="115"/>
      <c r="F6" s="111" t="s">
        <v>152</v>
      </c>
      <c r="G6" s="8"/>
      <c r="H6" s="112" t="s">
        <v>277</v>
      </c>
      <c r="I6" s="120"/>
    </row>
    <row r="7" spans="1:10" ht="31.5" customHeight="1" x14ac:dyDescent="0.25">
      <c r="A7" s="8"/>
      <c r="B7" s="111" t="s">
        <v>0</v>
      </c>
      <c r="C7" s="116"/>
      <c r="D7" s="117"/>
      <c r="E7" s="115"/>
      <c r="F7" s="111" t="s">
        <v>156</v>
      </c>
      <c r="G7" s="8"/>
      <c r="H7" s="111" t="s">
        <v>302</v>
      </c>
      <c r="I7" s="120"/>
    </row>
    <row r="8" spans="1:10" s="121" customFormat="1" ht="31.5" customHeight="1" x14ac:dyDescent="0.25">
      <c r="A8" s="120"/>
      <c r="B8" s="111" t="s">
        <v>15</v>
      </c>
      <c r="C8" s="116"/>
      <c r="D8" s="117"/>
      <c r="E8" s="120"/>
      <c r="F8" s="111" t="s">
        <v>158</v>
      </c>
      <c r="G8" s="120"/>
      <c r="H8" s="120"/>
      <c r="I8" s="120"/>
      <c r="J8"/>
    </row>
    <row r="9" spans="1:10" s="121" customFormat="1" ht="31.5" customHeight="1" x14ac:dyDescent="0.25">
      <c r="A9" s="120"/>
      <c r="B9" s="111" t="s">
        <v>17</v>
      </c>
      <c r="C9" s="116"/>
      <c r="D9" s="117"/>
      <c r="E9" s="120"/>
      <c r="F9" s="111" t="s">
        <v>189</v>
      </c>
      <c r="G9" s="120"/>
      <c r="H9" s="120"/>
      <c r="I9" s="120"/>
      <c r="J9"/>
    </row>
    <row r="10" spans="1:10" s="121" customFormat="1" ht="31.5" customHeight="1" x14ac:dyDescent="0.25">
      <c r="A10" s="120"/>
      <c r="B10" s="111" t="s">
        <v>26</v>
      </c>
      <c r="C10" s="116"/>
      <c r="D10" s="117"/>
      <c r="E10" s="120"/>
      <c r="F10" s="111" t="s">
        <v>168</v>
      </c>
      <c r="G10" s="120"/>
      <c r="H10" s="120"/>
      <c r="I10" s="120"/>
    </row>
    <row r="11" spans="1:10" s="121" customFormat="1" ht="31.5" customHeight="1" x14ac:dyDescent="0.25">
      <c r="A11" s="120"/>
      <c r="B11" s="111" t="s">
        <v>29</v>
      </c>
      <c r="C11" s="116"/>
      <c r="D11" s="117"/>
      <c r="E11" s="120"/>
      <c r="F11" s="113" t="s">
        <v>269</v>
      </c>
      <c r="G11" s="120"/>
      <c r="H11" s="120"/>
      <c r="I11" s="120"/>
    </row>
    <row r="12" spans="1:10" s="121" customFormat="1" ht="31.5" customHeight="1" x14ac:dyDescent="0.25">
      <c r="A12" s="120"/>
      <c r="B12" s="111" t="s">
        <v>34</v>
      </c>
      <c r="C12" s="116"/>
      <c r="D12" s="117"/>
      <c r="E12" s="120"/>
      <c r="F12" s="113" t="s">
        <v>271</v>
      </c>
      <c r="G12" s="120"/>
      <c r="H12" s="120"/>
      <c r="I12" s="120"/>
    </row>
    <row r="13" spans="1:10" s="121" customFormat="1" ht="31.5" customHeight="1" x14ac:dyDescent="0.25">
      <c r="A13" s="120"/>
      <c r="B13" s="120"/>
      <c r="C13" s="120"/>
      <c r="E13" s="120"/>
      <c r="F13" s="111" t="s">
        <v>40</v>
      </c>
      <c r="G13" s="120"/>
      <c r="H13" s="111" t="s">
        <v>174</v>
      </c>
      <c r="I13" s="120"/>
    </row>
    <row r="14" spans="1:10" s="121" customFormat="1" ht="31.5" customHeight="1" x14ac:dyDescent="0.25">
      <c r="E14" s="120"/>
      <c r="F14" s="111" t="s">
        <v>42</v>
      </c>
      <c r="G14" s="120"/>
      <c r="H14" s="111" t="s">
        <v>77</v>
      </c>
      <c r="I14" s="120"/>
    </row>
    <row r="15" spans="1:10" s="121" customFormat="1" ht="31.5" customHeight="1" x14ac:dyDescent="0.25">
      <c r="E15" s="120"/>
      <c r="F15" s="111" t="s">
        <v>58</v>
      </c>
      <c r="G15" s="120"/>
      <c r="H15" s="111" t="s">
        <v>78</v>
      </c>
      <c r="I15" s="120"/>
    </row>
    <row r="16" spans="1:10" s="121" customFormat="1" ht="18.95" customHeight="1" x14ac:dyDescent="0.25">
      <c r="E16" s="120"/>
      <c r="F16" s="120"/>
      <c r="G16" s="120"/>
      <c r="H16" s="120"/>
      <c r="I16" s="120"/>
    </row>
    <row r="17" spans="2:11" s="121" customFormat="1" ht="6.75" customHeight="1" x14ac:dyDescent="0.25"/>
    <row r="18" spans="2:11" s="121" customFormat="1" ht="21" customHeight="1" x14ac:dyDescent="0.25">
      <c r="B18" s="110" t="s">
        <v>274</v>
      </c>
      <c r="C18" s="122"/>
      <c r="D18" s="122"/>
      <c r="E18" s="142" t="s">
        <v>273</v>
      </c>
      <c r="F18" s="142"/>
      <c r="G18" s="142"/>
      <c r="H18" s="142"/>
      <c r="I18" s="142"/>
      <c r="J18" s="142"/>
      <c r="K18" s="142"/>
    </row>
    <row r="19" spans="2:11" s="19" customFormat="1" ht="12" customHeight="1" x14ac:dyDescent="0.25"/>
    <row r="20" spans="2:11" s="19" customFormat="1" ht="21" customHeight="1" x14ac:dyDescent="0.25"/>
    <row r="21" spans="2:11" s="19" customFormat="1" ht="21" customHeight="1" x14ac:dyDescent="0.25"/>
    <row r="22" spans="2:11" s="19" customFormat="1" ht="20.25" customHeight="1" x14ac:dyDescent="0.25"/>
    <row r="23" spans="2:11" x14ac:dyDescent="0.25">
      <c r="F23" s="19"/>
    </row>
    <row r="24" spans="2:11" ht="16.5" hidden="1" customHeight="1" x14ac:dyDescent="0.25">
      <c r="B24" s="143" t="s">
        <v>229</v>
      </c>
      <c r="C24" s="143"/>
      <c r="D24" s="143"/>
      <c r="E24" s="143"/>
      <c r="F24" s="310">
        <v>10900</v>
      </c>
    </row>
    <row r="25" spans="2:11" ht="16.5" hidden="1" customHeight="1" x14ac:dyDescent="0.25">
      <c r="B25" s="143" t="s">
        <v>230</v>
      </c>
      <c r="C25" s="143"/>
      <c r="D25" s="143"/>
      <c r="E25" s="143"/>
      <c r="F25" s="310">
        <v>10800</v>
      </c>
    </row>
    <row r="26" spans="2:11" ht="16.5" hidden="1" customHeight="1" x14ac:dyDescent="0.25">
      <c r="B26" s="143" t="s">
        <v>231</v>
      </c>
      <c r="C26" s="143"/>
      <c r="D26" s="143"/>
      <c r="E26" s="143"/>
      <c r="F26" s="310">
        <v>17400</v>
      </c>
    </row>
    <row r="27" spans="2:11" ht="16.5" hidden="1" customHeight="1" x14ac:dyDescent="0.25">
      <c r="B27" s="143" t="s">
        <v>232</v>
      </c>
      <c r="C27" s="143"/>
      <c r="D27" s="143"/>
      <c r="E27" s="143"/>
      <c r="F27" s="310">
        <v>17400</v>
      </c>
    </row>
    <row r="28" spans="2:11" ht="16.5" hidden="1" customHeight="1" x14ac:dyDescent="0.25">
      <c r="B28" s="143" t="s">
        <v>233</v>
      </c>
      <c r="C28" s="143"/>
      <c r="D28" s="143"/>
      <c r="E28" s="143"/>
      <c r="F28" s="310">
        <v>21800</v>
      </c>
    </row>
    <row r="29" spans="2:11" ht="16.5" hidden="1" customHeight="1" x14ac:dyDescent="0.25">
      <c r="B29" s="143" t="s">
        <v>234</v>
      </c>
      <c r="C29" s="143"/>
      <c r="D29" s="143"/>
      <c r="E29" s="143"/>
      <c r="F29" s="310">
        <v>28300</v>
      </c>
    </row>
    <row r="30" spans="2:11" ht="16.5" hidden="1" customHeight="1" x14ac:dyDescent="0.25">
      <c r="B30" s="143" t="s">
        <v>235</v>
      </c>
      <c r="C30" s="143"/>
      <c r="D30" s="143"/>
      <c r="E30" s="143"/>
      <c r="F30" s="310">
        <v>6500</v>
      </c>
    </row>
    <row r="31" spans="2:11" ht="16.5" hidden="1" customHeight="1" x14ac:dyDescent="0.25">
      <c r="B31" s="143" t="s">
        <v>245</v>
      </c>
      <c r="C31" s="143"/>
      <c r="D31" s="143"/>
      <c r="E31" s="143"/>
      <c r="F31" s="310">
        <v>16100</v>
      </c>
    </row>
    <row r="32" spans="2:11" ht="15" hidden="1" customHeight="1" x14ac:dyDescent="0.25">
      <c r="B32" s="143" t="s">
        <v>246</v>
      </c>
      <c r="C32" s="143"/>
      <c r="D32" s="143"/>
      <c r="E32" s="143"/>
      <c r="F32" s="310">
        <v>8700</v>
      </c>
    </row>
    <row r="33" spans="2:8" ht="16.5" hidden="1" customHeight="1" x14ac:dyDescent="0.25">
      <c r="B33" s="143" t="s">
        <v>247</v>
      </c>
      <c r="C33" s="143"/>
      <c r="D33" s="143"/>
      <c r="E33" s="143"/>
      <c r="F33" s="310">
        <v>17400</v>
      </c>
    </row>
    <row r="34" spans="2:8" x14ac:dyDescent="0.25">
      <c r="B34" s="143"/>
      <c r="C34" s="143"/>
      <c r="D34" s="143"/>
      <c r="E34" s="143"/>
    </row>
    <row r="39" spans="2:8" x14ac:dyDescent="0.25">
      <c r="B39" s="144"/>
      <c r="C39" s="144"/>
      <c r="D39" s="144"/>
      <c r="E39" s="144"/>
      <c r="F39" s="144"/>
      <c r="G39" s="144"/>
      <c r="H39" s="144"/>
    </row>
    <row r="40" spans="2:8" x14ac:dyDescent="0.25">
      <c r="B40" s="144"/>
      <c r="C40" s="144"/>
      <c r="D40" s="144"/>
      <c r="E40" s="144"/>
      <c r="F40" s="144"/>
      <c r="G40" s="144"/>
      <c r="H40" s="144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</sheetData>
  <sheetProtection selectLockedCells="1"/>
  <protectedRanges>
    <protectedRange password="EFFA" sqref="B7:C7" name="Tartomány1"/>
    <protectedRange password="EFFA" sqref="B8:D8" name="Tartomány1_1"/>
    <protectedRange password="EFFA" sqref="B9:D9" name="Tartomány1_4"/>
    <protectedRange password="EFFA" sqref="B10:D10" name="Tartomány1_6"/>
    <protectedRange password="EFFA" sqref="B11:D11" name="Tartomány1_7"/>
    <protectedRange password="EFFA" sqref="B12:D12" name="Tartomány1_9"/>
    <protectedRange password="EFFA" sqref="B13:D13" name="Tartomány1_11"/>
    <protectedRange password="EFFA" sqref="F13" name="Tartomány1_12"/>
    <protectedRange password="EFFA" sqref="B15:D15" name="Tartomány1_13"/>
    <protectedRange password="EFFA" sqref="F14" name="Tartomány1_14"/>
  </protectedRanges>
  <mergeCells count="16">
    <mergeCell ref="B40:H40"/>
    <mergeCell ref="B39:H39"/>
    <mergeCell ref="B25:E25"/>
    <mergeCell ref="B24:E24"/>
    <mergeCell ref="F2:H2"/>
    <mergeCell ref="B1:H1"/>
    <mergeCell ref="E18:K18"/>
    <mergeCell ref="B34:E34"/>
    <mergeCell ref="B29:E29"/>
    <mergeCell ref="B30:E30"/>
    <mergeCell ref="B31:E31"/>
    <mergeCell ref="B26:E26"/>
    <mergeCell ref="B27:E27"/>
    <mergeCell ref="B28:E28"/>
    <mergeCell ref="B32:E32"/>
    <mergeCell ref="B33:E33"/>
  </mergeCells>
  <hyperlinks>
    <hyperlink ref="B6" location="Szolg.kgh.!A1" display="Szolgálati célú kisgéphajó vezető" xr:uid="{00000000-0004-0000-0000-000000000000}"/>
    <hyperlink ref="B7" location="Kgh.!A1" display="Hivatásos kisgéphajó vezető" xr:uid="{00000000-0004-0000-0000-000001000000}"/>
    <hyperlink ref="B8" location="Vit!A1" display="Hivatásos vitorlás kishajó vezető" xr:uid="{00000000-0004-0000-0000-000002000000}"/>
    <hyperlink ref="B9" location="UMG!A1" display="Úszómunkagép vezető" xr:uid="{00000000-0004-0000-0000-000005000000}"/>
    <hyperlink ref="B10" location="'GNH vez.'!A1" display="Gépnélküli hajóvezető" xr:uid="{00000000-0004-0000-0000-000007000000}"/>
    <hyperlink ref="B11" location="Révész!A1" display="Révész" xr:uid="{00000000-0004-0000-0000-000008000000}"/>
    <hyperlink ref="B12" location="'C'!A1" display="C kategóriájú hajóvezető" xr:uid="{00000000-0004-0000-0000-00000A000000}"/>
    <hyperlink ref="F13" location="ADN!A1" display="Veszélyes áru szállítási (ADN) szakértő" xr:uid="{00000000-0004-0000-0000-00000D000000}"/>
    <hyperlink ref="F14" location="Rádiókezelő!A1" display="Belvízi hajózási rádiótelefon kezelő" xr:uid="{00000000-0004-0000-0000-00000F000000}"/>
    <hyperlink ref="F15" location="HÜV!A1" display="Hajózási üzemeltetési vezető" xr:uid="{00000000-0004-0000-0000-000011000000}"/>
    <hyperlink ref="B18" location="Helyettesíthetőség!A1" display="A képesítések helyettesíthetőségének szabályai" xr:uid="{00000000-0004-0000-0000-000012000000}"/>
    <hyperlink ref="H14" location="Gkez.!A1" display="Gépkezelő" xr:uid="{00000000-0004-0000-0000-000013000000}"/>
    <hyperlink ref="H15" location="Géptiszt!A1" display="Géptiszt" xr:uid="{00000000-0004-0000-0000-000014000000}"/>
    <hyperlink ref="F3" location="Kedvtelési!A1" display="Belvízi kedvtelési célú kishajó-vezető" xr:uid="{00000000-0004-0000-0000-000015000000}"/>
    <hyperlink ref="B3" location="Matróz!A1" display="Matróz" xr:uid="{D6A7B762-EE35-42F3-854E-0AB29EFC00EC}"/>
    <hyperlink ref="B4" location="'Matróz-gk'!A1" display="'Matróz-gépkezelő" xr:uid="{B1F4C7B9-8238-4DF3-A39D-50EFF3394D98}"/>
    <hyperlink ref="B5" location="Fed.mester!A1" display="Fedélzetmester" xr:uid="{E06CEA48-6EFD-4C4A-BB62-C2C5A547E6E7}"/>
    <hyperlink ref="H4" location="'VV Ausztria'!A1" display="VV II. Ausztria (Duna)" xr:uid="{2DADBE86-6CBA-4456-82EB-874D16593DCC}"/>
    <hyperlink ref="H3" location="'VV III'!A1" display="VV III; Tengeri szakaszokon való hajóvezetésre jogosító különleges engedély (EU)" xr:uid="{7E4F8C0D-C66A-4217-910B-32A39661A9BF}"/>
    <hyperlink ref="F11" location="'Radar (EU)'!A1" display="RADARHAJÓS (EU); Radar segítségével történő hajóvezetésre jogosító különleges engedély (EU)" xr:uid="{35BF3FB5-7784-4F80-931C-EC51F0C5CD42}"/>
    <hyperlink ref="F4" location="'Gyakornok (EU)'!A1" display="'Gyakornok (EU)" xr:uid="{93578E45-96E3-4C89-BECB-5C0C121AAE0F}"/>
    <hyperlink ref="F5" location="'Tanuló matróz (EU)'!A1" display="'Tanuló matróz (EU)" xr:uid="{4344B1B7-A723-484A-A113-952558EC6B14}"/>
    <hyperlink ref="F6" location="'Matróz (EU)'!A1" display="'Matróz (EU)" xr:uid="{2AD4523B-82B0-4CC1-937C-CC83A9265AAA}"/>
    <hyperlink ref="F7" location="'Képesített matróz (EU)'!A1" display="'Képesített matróz (EU)" xr:uid="{FCC7B4DA-9CFF-4642-8165-17E0BECAA383}"/>
    <hyperlink ref="F8" location="'Kormányos (EU)'!A1" display="'Kormányos (EU)" xr:uid="{38F61512-3AB9-4914-9D2B-3B84D3A83634}"/>
    <hyperlink ref="F12" location="'Nagy kötelékek (EU)'!A1" display="NAGY KÖTELÉKEK vezetésére vonatkozó különleges engedély (EU)" xr:uid="{023FD590-6845-4FE6-AF5F-6AD1352EE5E5}"/>
    <hyperlink ref="F10" location="Személyhajózás!A1" display="Személyhajózási szakember (EU)" xr:uid="{CB77A35F-7B75-49CD-B4C9-98BC1BC9A187}"/>
    <hyperlink ref="H13" location="Gépész!A1" display="Gépész" xr:uid="{61C2B813-7EC9-4DD2-928C-844F48AEDC2E}"/>
    <hyperlink ref="H5" location="'VV Magyarország'!A1" display="VV II. Magyarország (Duna és Tisza)" xr:uid="{B5B3E36D-2911-422C-AC48-D93764F46214}"/>
    <hyperlink ref="F9" location="'Hajóvezető (EU)'!A1" display="Hajóvezető (EU)" xr:uid="{6FBB26F3-6548-4627-B6D3-16EA740EDAD5}"/>
    <hyperlink ref="H6" location="'VV Németország Duna'!A1" display="VV II. Németország (Duna)" xr:uid="{62E2DC59-394A-4C4A-AEAC-733F857C25AE}"/>
    <hyperlink ref="H7" location="'VV Rajna'!A1" display="VV II. Rajna" xr:uid="{CE9B4DC2-1787-4E82-BBB7-17A9A3C1E6B6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5.42578125" customWidth="1"/>
    <col min="10" max="10" width="5.85546875" customWidth="1"/>
    <col min="11" max="11" width="31.7109375" customWidth="1"/>
    <col min="12" max="12" width="3.140625" customWidth="1"/>
    <col min="13" max="16" width="11.5703125" customWidth="1"/>
    <col min="17" max="17" width="1.42578125" customWidth="1"/>
  </cols>
  <sheetData>
    <row r="1" spans="1:17" x14ac:dyDescent="0.25">
      <c r="A1" s="26" t="s">
        <v>43</v>
      </c>
      <c r="B1" s="146" t="s">
        <v>26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6</v>
      </c>
      <c r="N1" s="146"/>
      <c r="O1" s="146"/>
      <c r="P1" s="146"/>
    </row>
    <row r="2" spans="1:17" ht="17.25" customHeight="1" x14ac:dyDescent="0.25">
      <c r="B2" s="175" t="s">
        <v>61</v>
      </c>
      <c r="C2" s="175"/>
      <c r="D2" s="175"/>
      <c r="E2" s="175"/>
      <c r="F2" s="175"/>
      <c r="G2" s="175"/>
      <c r="H2" s="175"/>
      <c r="I2" s="175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48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74" t="str">
        <f>IF(I19=0,"Okmányigénylés","Írásos vizsgajelentkezési/felmentési kérelem")</f>
        <v>Írásos vizsgajelentkezési/felmentési kérelem</v>
      </c>
      <c r="N3" s="174"/>
      <c r="O3" s="174"/>
      <c r="P3" s="174"/>
      <c r="Q3" s="64" t="b">
        <v>0</v>
      </c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77" t="s">
        <v>33</v>
      </c>
      <c r="N5" s="177"/>
      <c r="O5" s="177"/>
      <c r="P5" s="17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74" t="s">
        <v>8</v>
      </c>
      <c r="N6" s="174"/>
      <c r="O6" s="174"/>
      <c r="P6" s="174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74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4" t="str">
        <f t="shared" si="0"/>
        <v>A vizsgatárgyakat tartalmazó képzésen való részvétel igazolása</v>
      </c>
      <c r="P8" s="174" t="str">
        <f t="shared" si="0"/>
        <v>A vizsgatárgyakat tartalmazó képzésen való részvétel igazolása</v>
      </c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48"/>
      <c r="M9" s="174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74" t="str">
        <f t="shared" si="0"/>
        <v>A vizsgatárgyakat tartalmazó képzésen való részvétel igazolása</v>
      </c>
      <c r="O9" s="174" t="str">
        <f t="shared" si="0"/>
        <v>A vizsgatárgyakat tartalmazó képzésen való részvétel igazolása</v>
      </c>
      <c r="P9" s="174" t="str">
        <f t="shared" si="0"/>
        <v>A vizsgatárgyakat tartalmazó képzésen való részvétel igazolása</v>
      </c>
      <c r="Q9" s="64" t="b">
        <v>0</v>
      </c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48"/>
      <c r="M10" s="177" t="s">
        <v>110</v>
      </c>
      <c r="N10" s="177"/>
      <c r="O10" s="177"/>
      <c r="P10" s="177"/>
      <c r="Q10" s="64" t="b">
        <v>0</v>
      </c>
    </row>
    <row r="11" spans="1:17" ht="17.25" customHeight="1" x14ac:dyDescent="0.25">
      <c r="B11" s="8"/>
      <c r="C11" s="8"/>
      <c r="D11" s="8"/>
      <c r="E11" s="8"/>
      <c r="F11" s="8"/>
      <c r="G11" s="8"/>
      <c r="H11" s="8"/>
      <c r="I11" s="8"/>
      <c r="K11" s="148"/>
      <c r="M11" s="177"/>
      <c r="N11" s="177"/>
      <c r="O11" s="177"/>
      <c r="P11" s="177"/>
      <c r="Q11" s="64" t="b">
        <v>0</v>
      </c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48"/>
      <c r="M12" s="174" t="str">
        <f>IF(OR(Q3:Q6,Q8:Q11,Q12,Q15,Q14)=TRUE,"","Legalább alapfokú iskolai végzettség bemutatása")</f>
        <v>Legalább alapfokú iskolai végzettség bemutatása</v>
      </c>
      <c r="N12" s="174"/>
      <c r="O12" s="174"/>
      <c r="P12" s="174"/>
      <c r="Q12" s="64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1"/>
      <c r="M13" s="174"/>
      <c r="N13" s="174"/>
      <c r="O13" s="174"/>
      <c r="P13" s="174"/>
      <c r="Q13" s="64" t="b">
        <v>0</v>
      </c>
    </row>
    <row r="14" spans="1:17" ht="43.5" customHeight="1" x14ac:dyDescent="0.25">
      <c r="M14" s="174" t="str">
        <f>IF(OR(Q10,Q15)=TRUE,"Felmentési kérelemhez: képesítő okmány, vizsgajegyzőkönyv, leckekönyv vagy tanterv","")</f>
        <v/>
      </c>
      <c r="N14" s="174"/>
      <c r="O14" s="174"/>
      <c r="P14" s="174"/>
      <c r="Q14" s="64" t="b">
        <v>0</v>
      </c>
    </row>
    <row r="15" spans="1:17" x14ac:dyDescent="0.25">
      <c r="B15" s="157" t="s">
        <v>13</v>
      </c>
      <c r="C15" s="157"/>
      <c r="D15" s="157"/>
      <c r="E15" s="157"/>
      <c r="F15" s="157"/>
      <c r="G15" s="157"/>
      <c r="H15" s="157"/>
      <c r="I15" s="157"/>
      <c r="K15" s="1" t="s">
        <v>89</v>
      </c>
      <c r="Q15" s="64" t="b">
        <v>0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91</v>
      </c>
      <c r="F16" s="3" t="s">
        <v>3</v>
      </c>
      <c r="G16" s="3" t="s">
        <v>27</v>
      </c>
      <c r="H16" s="3" t="s">
        <v>28</v>
      </c>
      <c r="I16" s="3" t="s">
        <v>84</v>
      </c>
      <c r="K16" s="10">
        <f>SUM(B18:I18)</f>
        <v>95300</v>
      </c>
      <c r="M16" s="170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0"/>
      <c r="O16" s="170"/>
      <c r="P16" s="170"/>
    </row>
    <row r="17" spans="2:16" s="2" customFormat="1" ht="15.75" customHeight="1" x14ac:dyDescent="0.25">
      <c r="B17" s="101" t="str">
        <f>IF(B18=0,"Felmentés",IF(OR($Q$15,$Q$10)=TRUE,"Felmentés/vizsga","Vizsga"))</f>
        <v>Vizsga</v>
      </c>
      <c r="C17" s="101" t="str">
        <f t="shared" ref="C17:H17" si="1">IF(C18=0,"Felmentés",IF(OR($Q$15,$Q$10)=TRUE,"Felmentés/vizsga","Vizsga"))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tr">
        <f t="shared" si="1"/>
        <v>Vizsga</v>
      </c>
      <c r="H17" s="101" t="str">
        <f t="shared" si="1"/>
        <v>Vizsga</v>
      </c>
      <c r="I17" s="42" t="s">
        <v>85</v>
      </c>
      <c r="L17" s="17"/>
      <c r="M17" s="190" t="s">
        <v>39</v>
      </c>
      <c r="N17" s="190"/>
      <c r="O17" s="190"/>
      <c r="P17" s="190"/>
    </row>
    <row r="18" spans="2:16" s="1" customFormat="1" x14ac:dyDescent="0.25">
      <c r="B18" s="33">
        <f>IF(OR(Q3,Q4,Q5,Q9,Q12,Q14)=TRUE,0,KEZDŐLAP!F25)</f>
        <v>10800</v>
      </c>
      <c r="C18" s="33">
        <f>IF(OR(Q3,Q4,Q5,Q9,Q12,Q14)=TRUE,0,KEZDŐLAP!F25)</f>
        <v>10800</v>
      </c>
      <c r="D18" s="33">
        <f>IF(OR(Q3,Q5,Q11,Q12,Q14)=TRUE,0,KEZDŐLAP!F25)</f>
        <v>10800</v>
      </c>
      <c r="E18" s="33">
        <f>IF(OR(Q7,Q14)=TRUE,0,KEZDŐLAP!F25)</f>
        <v>10800</v>
      </c>
      <c r="F18" s="33">
        <f>IF(OR($Q$3,Q5,Q9,Q11,Q12,Q8,Q4,Q13,Q14)=TRUE,0,KEZDŐLAP!F25)</f>
        <v>10800</v>
      </c>
      <c r="G18" s="33">
        <f>IF(Q8=TRUE,0,KEZDŐLAP!F26)</f>
        <v>17400</v>
      </c>
      <c r="H18" s="33">
        <f>IF(OR(Q3,Q5,Q11,Q12,Q9,Q14)=TRUE,0,KEZDŐLAP!F26)</f>
        <v>17400</v>
      </c>
      <c r="I18" s="66">
        <f>KEZDŐLAP!F30</f>
        <v>6500</v>
      </c>
      <c r="K18" s="2"/>
      <c r="L18" s="17"/>
      <c r="M18" s="190"/>
      <c r="N18" s="190"/>
      <c r="O18" s="190"/>
      <c r="P18" s="190"/>
    </row>
    <row r="19" spans="2:16" x14ac:dyDescent="0.25">
      <c r="B19" s="19"/>
      <c r="C19" s="19"/>
      <c r="D19" s="19"/>
      <c r="E19" s="19"/>
      <c r="F19" s="19"/>
      <c r="G19" s="193" t="s">
        <v>88</v>
      </c>
      <c r="H19" s="194"/>
      <c r="I19" s="33">
        <f>SUM(B18:H18)</f>
        <v>88800</v>
      </c>
      <c r="L19" s="17"/>
      <c r="M19" s="190"/>
      <c r="N19" s="190"/>
      <c r="O19" s="190"/>
      <c r="P19" s="190"/>
    </row>
    <row r="20" spans="2:16" x14ac:dyDescent="0.25">
      <c r="L20" s="17"/>
      <c r="M20" s="190"/>
      <c r="N20" s="190"/>
      <c r="O20" s="190"/>
      <c r="P20" s="190"/>
    </row>
    <row r="21" spans="2:16" x14ac:dyDescent="0.25">
      <c r="L21" s="17"/>
      <c r="M21" s="190"/>
      <c r="N21" s="190"/>
      <c r="O21" s="190"/>
      <c r="P21" s="190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H13:P14 F13:G15 L15:P15 L6:P12 L5 F16:H16 B1:P1 J2:Q2 B13:E16 A14:A18 B3:J12 J17:K18 K16 H15:J15 B17:H18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M16 N16:O18 M18 L17:L18" name="Tartomány1_2_1"/>
  </protectedRanges>
  <mergeCells count="17"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  <mergeCell ref="M16:P16"/>
    <mergeCell ref="M17:P21"/>
    <mergeCell ref="G19:H19"/>
    <mergeCell ref="M14:P14"/>
    <mergeCell ref="B15:I15"/>
  </mergeCells>
  <conditionalFormatting sqref="B17:H17">
    <cfRule type="containsText" dxfId="73" priority="1" operator="containsText" text="Vizsga">
      <formula>NOT(ISERROR(SEARCH("Vizsga",B17)))</formula>
    </cfRule>
    <cfRule type="containsText" dxfId="72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7</xdr:col>
                    <xdr:colOff>695325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95250</xdr:rowOff>
                  </from>
                  <to>
                    <xdr:col>6</xdr:col>
                    <xdr:colOff>523875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123825</xdr:rowOff>
                  </from>
                  <to>
                    <xdr:col>6</xdr:col>
                    <xdr:colOff>523875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142875</xdr:rowOff>
                  </from>
                  <to>
                    <xdr:col>5</xdr:col>
                    <xdr:colOff>142875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142875</xdr:rowOff>
                  </from>
                  <to>
                    <xdr:col>5</xdr:col>
                    <xdr:colOff>142875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104775</xdr:rowOff>
                  </from>
                  <to>
                    <xdr:col>7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161925</xdr:rowOff>
                  </from>
                  <to>
                    <xdr:col>5</xdr:col>
                    <xdr:colOff>142875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2" name="Check Box 17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114300</xdr:rowOff>
                  </from>
                  <to>
                    <xdr:col>7</xdr:col>
                    <xdr:colOff>600075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3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161925</xdr:rowOff>
                  </from>
                  <to>
                    <xdr:col>8</xdr:col>
                    <xdr:colOff>904875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20"/>
  <sheetViews>
    <sheetView workbookViewId="0"/>
  </sheetViews>
  <sheetFormatPr defaultRowHeight="15" x14ac:dyDescent="0.25"/>
  <cols>
    <col min="1" max="1" width="3.42578125" customWidth="1"/>
    <col min="2" max="7" width="15" customWidth="1"/>
    <col min="8" max="9" width="12.28515625" customWidth="1"/>
    <col min="10" max="10" width="3.140625" customWidth="1"/>
    <col min="11" max="11" width="31.7109375" customWidth="1"/>
    <col min="12" max="12" width="3.140625" customWidth="1"/>
    <col min="13" max="16" width="12" customWidth="1"/>
    <col min="17" max="17" width="1.28515625" customWidth="1"/>
  </cols>
  <sheetData>
    <row r="1" spans="1:17" x14ac:dyDescent="0.25">
      <c r="A1" s="26" t="s">
        <v>43</v>
      </c>
      <c r="B1" s="146" t="s">
        <v>29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6</v>
      </c>
      <c r="N1" s="146"/>
      <c r="O1" s="146"/>
      <c r="P1" s="146"/>
    </row>
    <row r="2" spans="1:17" ht="15" customHeight="1" x14ac:dyDescent="0.25">
      <c r="B2" s="175" t="s">
        <v>61</v>
      </c>
      <c r="C2" s="175"/>
      <c r="D2" s="175"/>
      <c r="E2" s="175"/>
      <c r="F2" s="175"/>
      <c r="G2" s="175"/>
      <c r="H2" s="175"/>
      <c r="I2" s="175"/>
      <c r="K2" s="1"/>
      <c r="Q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48" t="s">
        <v>109</v>
      </c>
      <c r="M3" s="174" t="s">
        <v>239</v>
      </c>
      <c r="N3" s="174"/>
      <c r="O3" s="174"/>
      <c r="P3" s="174"/>
      <c r="Q3" s="64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8"/>
      <c r="M5" s="177" t="s">
        <v>33</v>
      </c>
      <c r="N5" s="177"/>
      <c r="O5" s="177"/>
      <c r="P5" s="177"/>
      <c r="Q5" s="64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48"/>
      <c r="M6" s="174" t="s">
        <v>8</v>
      </c>
      <c r="N6" s="174"/>
      <c r="O6" s="174"/>
      <c r="P6" s="174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48"/>
      <c r="M8" s="174" t="s">
        <v>240</v>
      </c>
      <c r="N8" s="174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4" t="str">
        <f t="shared" si="0"/>
        <v>A vizsgatárgyakat tartalmazó képzésen való részvétel igazolása</v>
      </c>
      <c r="P8" s="174" t="str">
        <f t="shared" si="0"/>
        <v>A vizsgatárgyakat tartalmazó képzésen való részvétel igazolása</v>
      </c>
      <c r="Q8" s="64"/>
    </row>
    <row r="9" spans="1:17" x14ac:dyDescent="0.25">
      <c r="B9" s="8"/>
      <c r="C9" s="8"/>
      <c r="D9" s="8"/>
      <c r="E9" s="8"/>
      <c r="F9" s="8"/>
      <c r="G9" s="8"/>
      <c r="H9" s="8"/>
      <c r="I9" s="8"/>
      <c r="K9" s="148"/>
      <c r="M9" s="174" t="str">
        <f t="shared" si="0"/>
        <v>A vizsgatárgyakat tartalmazó képzésen való részvétel igazolása</v>
      </c>
      <c r="N9" s="174" t="str">
        <f t="shared" si="0"/>
        <v>A vizsgatárgyakat tartalmazó képzésen való részvétel igazolása</v>
      </c>
      <c r="O9" s="174" t="str">
        <f t="shared" si="0"/>
        <v>A vizsgatárgyakat tartalmazó képzésen való részvétel igazolása</v>
      </c>
      <c r="P9" s="174" t="str">
        <f t="shared" si="0"/>
        <v>A vizsgatárgyakat tartalmazó képzésen való részvétel igazolása</v>
      </c>
      <c r="Q9" s="64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48"/>
      <c r="M10" s="177" t="s">
        <v>110</v>
      </c>
      <c r="N10" s="177"/>
      <c r="O10" s="177"/>
      <c r="P10" s="177"/>
      <c r="Q10" s="64" t="b">
        <v>0</v>
      </c>
    </row>
    <row r="11" spans="1:17" ht="29.25" customHeight="1" x14ac:dyDescent="0.25">
      <c r="B11" s="8"/>
      <c r="C11" s="8"/>
      <c r="D11" s="8"/>
      <c r="E11" s="8"/>
      <c r="F11" s="8"/>
      <c r="G11" s="8"/>
      <c r="H11" s="8"/>
      <c r="I11" s="8"/>
      <c r="K11" s="148"/>
      <c r="M11" s="174" t="str">
        <f>IF(OR(Q15,Q14)=TRUE,"Felmentési kérelemhez: képesítő okmány, vizsgajegyzőkönyv, leckekönyv vagy tanterv","")</f>
        <v/>
      </c>
      <c r="N11" s="174"/>
      <c r="O11" s="174"/>
      <c r="P11" s="174"/>
      <c r="Q11" s="64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48"/>
      <c r="M12" s="181" t="str">
        <f>IF(OR(Q3:Q12,,Q14,Q15)=TRUE,"","Legalább alapfokú iskolai végzettség igazolása")</f>
        <v>Legalább alapfokú iskolai végzettség igazolása</v>
      </c>
      <c r="N12" s="182"/>
      <c r="O12" s="182"/>
      <c r="P12" s="183"/>
      <c r="Q12" s="64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86"/>
      <c r="N13" s="187"/>
      <c r="O13" s="187"/>
      <c r="P13" s="188"/>
      <c r="Q13" s="64" t="b">
        <v>0</v>
      </c>
    </row>
    <row r="14" spans="1:17" ht="16.5" customHeight="1" x14ac:dyDescent="0.25">
      <c r="M14" s="195"/>
      <c r="N14" s="195"/>
      <c r="O14" s="195"/>
      <c r="P14" s="195"/>
      <c r="Q14" s="64" t="b">
        <v>0</v>
      </c>
    </row>
    <row r="15" spans="1:17" x14ac:dyDescent="0.25">
      <c r="B15" s="157" t="s">
        <v>13</v>
      </c>
      <c r="C15" s="157"/>
      <c r="D15" s="157"/>
      <c r="E15" s="157"/>
      <c r="F15" s="157"/>
      <c r="G15" s="157"/>
      <c r="K15" s="1" t="s">
        <v>89</v>
      </c>
      <c r="Q15" s="64" t="b">
        <v>0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84</v>
      </c>
      <c r="K16" s="10">
        <f>SUM(B18:H18)</f>
        <v>108600</v>
      </c>
      <c r="M16" s="170" t="str">
        <f>IF(Q14=TRUE,"Hajózási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0"/>
      <c r="O16" s="170"/>
      <c r="P16" s="170"/>
    </row>
    <row r="17" spans="2:16" s="2" customFormat="1" ht="15.75" customHeight="1" x14ac:dyDescent="0.25">
      <c r="B17" s="101" t="str">
        <f>IF(B18=0,"Felmentés",IF(OR($Q$15,$Q$14)=TRUE,"Felmentés/vizsga","Vizsga"))</f>
        <v>Vizsga</v>
      </c>
      <c r="C17" s="101" t="str">
        <f t="shared" ref="C17:F17" si="1">IF(C18=0,"Felmentés",IF(OR($Q$15,$Q$14)=TRUE,"Felmentés/vizsga","Vizsga"))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">
        <v>241</v>
      </c>
      <c r="H17" s="42" t="s">
        <v>85</v>
      </c>
      <c r="M17" s="170" t="s">
        <v>39</v>
      </c>
      <c r="N17" s="170"/>
      <c r="O17" s="170"/>
      <c r="P17" s="170"/>
    </row>
    <row r="18" spans="2:16" s="1" customFormat="1" x14ac:dyDescent="0.25">
      <c r="B18" s="4">
        <f>IF(Q3=TRUE,0,IF(Q4=TRUE,0,IF(Q7=TRUE,0,IF(Q9=TRUE,0,IF(Q11=TRUE,0,IF(Q5=TRUE,0,KEZDŐLAP!F25))))))</f>
        <v>10800</v>
      </c>
      <c r="C18" s="4">
        <f>IF(Q3=TRUE,0,IF(Q4=TRUE,0,IF(Q7=TRUE,0,IF(Q9=TRUE,0,IF(Q11=TRUE,0,IF(Q5=TRUE,0,KEZDŐLAP!F26))))))</f>
        <v>17400</v>
      </c>
      <c r="D18" s="4">
        <f>IF(OR(Q12,Q7,Q5)=TRUE,0,KEZDŐLAP!F25)</f>
        <v>10800</v>
      </c>
      <c r="E18" s="4">
        <f>IF(Q13=TRUE,0,KEZDŐLAP!F26)</f>
        <v>17400</v>
      </c>
      <c r="F18" s="4">
        <f>IF(Q7=TRUE,0,KEZDŐLAP!F26)</f>
        <v>17400</v>
      </c>
      <c r="G18" s="4">
        <f>KEZDŐLAP!F29</f>
        <v>28300</v>
      </c>
      <c r="H18" s="41">
        <f>KEZDŐLAP!F30</f>
        <v>6500</v>
      </c>
      <c r="M18" s="170"/>
      <c r="N18" s="170"/>
      <c r="O18" s="170"/>
      <c r="P18" s="170"/>
    </row>
    <row r="19" spans="2:16" x14ac:dyDescent="0.25">
      <c r="E19" s="46" t="s">
        <v>88</v>
      </c>
      <c r="F19" s="47"/>
      <c r="G19" s="45">
        <f>SUM(B18:G18)</f>
        <v>102100</v>
      </c>
      <c r="M19" s="170"/>
      <c r="N19" s="170"/>
      <c r="O19" s="170"/>
      <c r="P19" s="170"/>
    </row>
    <row r="20" spans="2:16" x14ac:dyDescent="0.25">
      <c r="M20" s="170"/>
      <c r="N20" s="170"/>
      <c r="O20" s="170"/>
      <c r="P20" s="170"/>
    </row>
  </sheetData>
  <sheetProtection sheet="1" selectLockedCells="1"/>
  <protectedRanges>
    <protectedRange password="EFFA" sqref="D16:G16 L3:P4 Q3:Q13 K16 D13:I15 J13:P14 L6:P12 L5 B1:P1 J2:Q2 B13:C16 A14:A18 B3:J12 J15 L15:P15 K17:L18 Q16:Q18 M18:P18 B17:G18" name="Tartomány1"/>
    <protectedRange password="EFFA" sqref="K3:K12" name="Tartomány1_2"/>
    <protectedRange password="EFFA" sqref="M5:P5" name="Tartomány1_1"/>
    <protectedRange password="EFFA" sqref="M17:P17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  <protectedRange password="EFFA" sqref="M16:O16" name="Tartomány1_2_1"/>
  </protectedRanges>
  <mergeCells count="16">
    <mergeCell ref="M17:P20"/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71" priority="1" operator="containsText" text="Vizsga">
      <formula>NOT(ISERROR(SEARCH("Vizsga",B17)))</formula>
    </cfRule>
    <cfRule type="containsText" dxfId="70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95250</xdr:rowOff>
                  </from>
                  <to>
                    <xdr:col>5</xdr:col>
                    <xdr:colOff>371475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6</xdr:col>
                    <xdr:colOff>895350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7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8</xdr:col>
                    <xdr:colOff>809625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8" name="Check Box 1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95250</xdr:rowOff>
                  </from>
                  <to>
                    <xdr:col>8</xdr:col>
                    <xdr:colOff>47625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31"/>
  <sheetViews>
    <sheetView workbookViewId="0"/>
  </sheetViews>
  <sheetFormatPr defaultRowHeight="15" x14ac:dyDescent="0.25"/>
  <cols>
    <col min="1" max="1" width="3.42578125" style="7" customWidth="1"/>
    <col min="2" max="9" width="15" customWidth="1"/>
    <col min="10" max="10" width="3.140625" customWidth="1"/>
    <col min="11" max="11" width="43" customWidth="1"/>
    <col min="12" max="12" width="3.140625" customWidth="1"/>
    <col min="13" max="16" width="14.42578125" customWidth="1"/>
    <col min="17" max="17" width="2.140625" style="7" customWidth="1"/>
  </cols>
  <sheetData>
    <row r="1" spans="1:17" x14ac:dyDescent="0.25">
      <c r="A1" s="26" t="s">
        <v>298</v>
      </c>
      <c r="B1" s="146" t="s">
        <v>34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6</v>
      </c>
      <c r="N1" s="146"/>
      <c r="O1" s="146"/>
      <c r="P1" s="146"/>
    </row>
    <row r="2" spans="1:17" ht="18" customHeight="1" x14ac:dyDescent="0.25">
      <c r="B2" s="175" t="s">
        <v>61</v>
      </c>
      <c r="C2" s="175"/>
      <c r="D2" s="175"/>
      <c r="E2" s="175"/>
      <c r="F2" s="175"/>
      <c r="G2" s="175"/>
      <c r="H2" s="175"/>
      <c r="I2" s="175"/>
      <c r="K2" s="148" t="str">
        <f>IF(Q16=TRUE,""," legalább 12 hónap hajózási gyakorlat a fedélzeti személyzet tagjaként és jóváhagyott hajóvezetői képzés sikeres elvégzésének igazolása")</f>
        <v xml:space="preserve"> legalább 12 hónap hajózási gyakorlat a fedélzeti személyzet tagjaként és jóváhagyott hajóvezetői képzés sikeres elvégzésének igazolása</v>
      </c>
      <c r="Q2" s="25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8"/>
      <c r="M3" s="174" t="str">
        <f>IF(H21&gt;0,"Írásos vizsgajelentkezési/felmentési kérelem","Okmányigénylés")</f>
        <v>Írásos vizsgajelentkezési/felmentési kérelem</v>
      </c>
      <c r="N3" s="174"/>
      <c r="O3" s="174"/>
      <c r="P3" s="174"/>
      <c r="Q3" s="64" t="b">
        <v>0</v>
      </c>
    </row>
    <row r="4" spans="1:17" ht="30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75" t="str">
        <f>IF(Q16=TRUE,"","vagy")</f>
        <v>vagy</v>
      </c>
      <c r="M5" s="178" t="s">
        <v>33</v>
      </c>
      <c r="N5" s="179"/>
      <c r="O5" s="179"/>
      <c r="P5" s="180"/>
      <c r="Q5" s="64" t="b">
        <v>0</v>
      </c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8" t="str">
        <f>IF(Q16=TRUE,"","egyéni felkészülés mellett legalább 18 hónap hajózási gyakorlat a fedélzeti személyzet tagjaként")</f>
        <v>egyéni felkészülés mellett legalább 18 hónap hajózási gyakorlat a fedélzeti személyzet tagjaként</v>
      </c>
      <c r="M6" s="174" t="s">
        <v>111</v>
      </c>
      <c r="N6" s="174"/>
      <c r="O6" s="174"/>
      <c r="P6" s="174"/>
      <c r="Q6" s="64" t="b">
        <v>0</v>
      </c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 t="b">
        <v>0</v>
      </c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81" t="str">
        <f>IF(Q16=TRUE,"","A vizsgaközpont által lebonyolított „C” kategóriájú hajóvezetői vizsga sikeres teljesítése")</f>
        <v>A vizsgaközpont által lebonyolított „C” kategóriájú hajóvezetői vizsga sikeres teljesítése</v>
      </c>
      <c r="N8" s="182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82" t="str">
        <f t="shared" si="0"/>
        <v>A vizsgatárgyakat tartalmazó képzésen való részvétel igazolása</v>
      </c>
      <c r="P8" s="183" t="str">
        <f t="shared" si="0"/>
        <v>A vizsgatárgyakat tartalmazó képzésen való részvétel igazolása</v>
      </c>
      <c r="Q8" s="64" t="b">
        <v>0</v>
      </c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75" t="str">
        <f>IF(Q12=TRUE,"vagy","")</f>
        <v/>
      </c>
      <c r="M9" s="186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87" t="str">
        <f t="shared" si="0"/>
        <v>A vizsgatárgyakat tartalmazó képzésen való részvétel igazolása</v>
      </c>
      <c r="O9" s="187" t="str">
        <f t="shared" si="0"/>
        <v>A vizsgatárgyakat tartalmazó képzésen való részvétel igazolása</v>
      </c>
      <c r="P9" s="188" t="str">
        <f t="shared" si="0"/>
        <v>A vizsgatárgyakat tartalmazó képzésen való részvétel igazolása</v>
      </c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48" t="str">
        <f>IF(Q12=TRUE,"legalább 6 hónap hajózási gyakorlat a fedélzeti személyzet tagjaként és tengeri hajón és jóváhagyott hajóvezetői képzés sikeres elvégzésének igazolása","")</f>
        <v/>
      </c>
      <c r="M10" s="177" t="s">
        <v>108</v>
      </c>
      <c r="N10" s="177"/>
      <c r="O10" s="177"/>
      <c r="P10" s="177"/>
      <c r="Q10" s="64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48"/>
      <c r="M11" s="181" t="str">
        <f>IF(OR(Q11,Q8)=TRUE,"Felmentési kérelemhez: képesítő okmány, vizsgajegyzőkönyv, leckekönyv vagy tanterv","")</f>
        <v/>
      </c>
      <c r="N11" s="182"/>
      <c r="O11" s="182"/>
      <c r="P11" s="183"/>
      <c r="Q11" s="64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48"/>
      <c r="M12" s="186"/>
      <c r="N12" s="187"/>
      <c r="O12" s="187"/>
      <c r="P12" s="188"/>
      <c r="Q12" s="64" t="b">
        <v>0</v>
      </c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48"/>
      <c r="M13" s="174" t="s">
        <v>36</v>
      </c>
      <c r="N13" s="174"/>
      <c r="O13" s="174"/>
      <c r="P13" s="174"/>
      <c r="Q13" s="64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K14" s="18"/>
      <c r="M14" s="174"/>
      <c r="N14" s="174"/>
      <c r="O14" s="174"/>
      <c r="P14" s="174"/>
      <c r="Q14" s="64" t="b">
        <v>0</v>
      </c>
    </row>
    <row r="15" spans="1:17" ht="18" customHeight="1" x14ac:dyDescent="0.25">
      <c r="B15" s="175"/>
      <c r="C15" s="175"/>
      <c r="D15" s="175"/>
      <c r="E15" s="175"/>
      <c r="F15" s="175"/>
      <c r="G15" s="175"/>
      <c r="H15" s="175"/>
      <c r="I15" s="175"/>
      <c r="K15" s="18"/>
      <c r="M15" s="174" t="str">
        <f>IF(OR(Q3,Q4,Q5,Q6,Q7,Q8,Q10,Q11,Q14,Q15,Q16)=TRUE,"","Legalább alapfokú iskolai végzettség igazolása")</f>
        <v>Legalább alapfokú iskolai végzettség igazolása</v>
      </c>
      <c r="N15" s="174"/>
      <c r="O15" s="174"/>
      <c r="P15" s="174"/>
      <c r="Q15" s="102"/>
    </row>
    <row r="16" spans="1:17" s="2" customFormat="1" ht="18" customHeight="1" x14ac:dyDescent="0.25">
      <c r="A16" s="14"/>
      <c r="B16" s="20"/>
      <c r="C16" s="20"/>
      <c r="D16" s="20"/>
      <c r="E16" s="20"/>
      <c r="F16" s="20"/>
      <c r="G16" s="20"/>
      <c r="H16" s="20"/>
      <c r="I16" s="8"/>
      <c r="J16"/>
      <c r="K16" s="18"/>
      <c r="L16"/>
      <c r="M16" s="174"/>
      <c r="N16" s="174"/>
      <c r="O16" s="174"/>
      <c r="P16" s="174"/>
      <c r="Q16" s="103" t="b">
        <v>0</v>
      </c>
    </row>
    <row r="17" spans="1:17" s="2" customFormat="1" ht="13.5" customHeight="1" x14ac:dyDescent="0.25">
      <c r="A17" s="14"/>
      <c r="B17" s="196" t="s">
        <v>13</v>
      </c>
      <c r="C17" s="197"/>
      <c r="D17" s="197"/>
      <c r="E17" s="197"/>
      <c r="F17" s="197"/>
      <c r="G17" s="197"/>
      <c r="H17" s="197"/>
      <c r="J17"/>
      <c r="K17" s="1" t="s">
        <v>105</v>
      </c>
      <c r="M17" s="158" t="str">
        <f>IF(Q11=TRUE,"Hajózási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7" s="158"/>
      <c r="O17" s="158"/>
      <c r="P17" s="158"/>
      <c r="Q17" s="17"/>
    </row>
    <row r="18" spans="1:17" s="1" customFormat="1" ht="100.5" customHeight="1" x14ac:dyDescent="0.25">
      <c r="A18" s="15"/>
      <c r="B18" s="13" t="s">
        <v>38</v>
      </c>
      <c r="C18" s="13" t="s">
        <v>37</v>
      </c>
      <c r="D18" s="13" t="s">
        <v>35</v>
      </c>
      <c r="E18" s="13" t="s">
        <v>90</v>
      </c>
      <c r="F18" s="13" t="s">
        <v>91</v>
      </c>
      <c r="G18" s="13" t="s">
        <v>25</v>
      </c>
      <c r="H18" s="13" t="s">
        <v>5</v>
      </c>
      <c r="I18" s="48" t="s">
        <v>103</v>
      </c>
      <c r="J18" s="2"/>
      <c r="K18" s="10">
        <f>SUM(B20:I20)</f>
        <v>119400</v>
      </c>
      <c r="L18" s="2"/>
      <c r="M18" s="170"/>
      <c r="N18" s="170"/>
      <c r="O18" s="170"/>
      <c r="P18" s="170"/>
      <c r="Q18" s="17"/>
    </row>
    <row r="19" spans="1:17" ht="15" customHeight="1" x14ac:dyDescent="0.25">
      <c r="B19" s="101" t="str">
        <f>IF(B20=0,"Felmentés",IF(OR($Q$11,$Q$8)=TRUE,"Felmentés/vizsga","Vizsga"))</f>
        <v>Vizsga</v>
      </c>
      <c r="C19" s="101" t="str">
        <f t="shared" ref="C19:G19" si="1">IF(C20=0,"Felmentés",IF(OR($Q$11,$Q$8)=TRUE,"Felmentés/vizsga","Vizsga"))</f>
        <v>Vizsga</v>
      </c>
      <c r="D19" s="101" t="str">
        <f t="shared" si="1"/>
        <v>Vizsga</v>
      </c>
      <c r="E19" s="101" t="str">
        <f t="shared" si="1"/>
        <v>Vizsga</v>
      </c>
      <c r="F19" s="101" t="str">
        <f t="shared" si="1"/>
        <v>Vizsga</v>
      </c>
      <c r="G19" s="101" t="str">
        <f t="shared" si="1"/>
        <v>Vizsga</v>
      </c>
      <c r="H19" s="101" t="str">
        <f t="shared" ref="H19" si="2">IF(H20&lt;&gt;0,"Vizsga","Felmentés")</f>
        <v>Vizsga</v>
      </c>
      <c r="I19" s="107" t="s">
        <v>104</v>
      </c>
      <c r="J19" s="2"/>
      <c r="K19" s="17"/>
      <c r="M19" s="170" t="s">
        <v>39</v>
      </c>
      <c r="N19" s="170"/>
      <c r="O19" s="170"/>
      <c r="P19" s="170"/>
      <c r="Q19" s="17"/>
    </row>
    <row r="20" spans="1:17" ht="14.25" customHeight="1" x14ac:dyDescent="0.25">
      <c r="B20" s="4">
        <f>IF($Q$6=TRUE,0,KEZDŐLAP!F25)</f>
        <v>10800</v>
      </c>
      <c r="C20" s="4">
        <f>IF($Q$6=TRUE,0,KEZDŐLAP!F26)</f>
        <v>17400</v>
      </c>
      <c r="D20" s="4">
        <f>IF($Q$6=TRUE,0,KEZDŐLAP!F26)</f>
        <v>17400</v>
      </c>
      <c r="E20" s="4">
        <f>IF(OR($Q$6,Q4,Q3,Q16,Q10)=TRUE,0,KEZDŐLAP!F25)</f>
        <v>10800</v>
      </c>
      <c r="F20" s="4">
        <f>IF($Q$6=TRUE,0,KEZDŐLAP!F25)</f>
        <v>10800</v>
      </c>
      <c r="G20" s="4">
        <f>IF(OR($Q$6,Q4,Q16,Q7,Q14)=TRUE,0,KEZDŐLAP!F26)</f>
        <v>17400</v>
      </c>
      <c r="H20" s="4">
        <f>KEZDŐLAP!F29</f>
        <v>28300</v>
      </c>
      <c r="I20" s="4">
        <f>KEZDŐLAP!F30</f>
        <v>6500</v>
      </c>
      <c r="K20" s="17"/>
      <c r="M20" s="170"/>
      <c r="N20" s="170"/>
      <c r="O20" s="170"/>
      <c r="P20" s="170"/>
      <c r="Q20" s="17"/>
    </row>
    <row r="21" spans="1:17" x14ac:dyDescent="0.25">
      <c r="F21" s="191" t="s">
        <v>88</v>
      </c>
      <c r="G21" s="198"/>
      <c r="H21" s="4">
        <f>SUM(B20:H20)</f>
        <v>112900</v>
      </c>
      <c r="K21" s="17"/>
      <c r="M21" s="170"/>
      <c r="N21" s="170"/>
      <c r="O21" s="170"/>
      <c r="P21" s="170"/>
      <c r="Q21" s="17"/>
    </row>
    <row r="22" spans="1:17" ht="15.75" customHeight="1" x14ac:dyDescent="0.25">
      <c r="K22" s="17"/>
      <c r="M22" s="170"/>
      <c r="N22" s="170"/>
      <c r="O22" s="170"/>
      <c r="P22" s="170"/>
      <c r="Q22" s="17"/>
    </row>
    <row r="23" spans="1:17" ht="30" customHeight="1" x14ac:dyDescent="0.25">
      <c r="B23" s="170" t="s">
        <v>248</v>
      </c>
      <c r="C23" s="170"/>
      <c r="D23" s="170"/>
      <c r="E23" s="170"/>
      <c r="F23" s="170"/>
      <c r="G23" s="170"/>
      <c r="H23" s="170"/>
      <c r="I23" s="170"/>
      <c r="K23" s="17"/>
      <c r="M23" s="17"/>
      <c r="N23" s="17"/>
      <c r="O23" s="17"/>
      <c r="P23" s="17"/>
      <c r="Q23" s="17"/>
    </row>
    <row r="24" spans="1:17" x14ac:dyDescent="0.25">
      <c r="B24" s="170" t="s">
        <v>251</v>
      </c>
      <c r="C24" s="170"/>
      <c r="D24" s="170"/>
      <c r="E24" s="170"/>
      <c r="F24" s="170"/>
      <c r="G24" s="170"/>
      <c r="H24" s="170"/>
      <c r="I24" s="170"/>
      <c r="K24" s="17"/>
      <c r="M24" s="17"/>
      <c r="N24" s="17"/>
      <c r="O24" s="17"/>
      <c r="P24" s="17"/>
      <c r="Q24" s="17"/>
    </row>
    <row r="25" spans="1:17" ht="15" customHeight="1" x14ac:dyDescent="0.25">
      <c r="B25" s="170" t="s">
        <v>249</v>
      </c>
      <c r="C25" s="170"/>
      <c r="D25" s="170"/>
      <c r="E25" s="170"/>
      <c r="F25" s="170"/>
      <c r="G25" s="170"/>
      <c r="H25" s="170"/>
      <c r="I25" s="170"/>
      <c r="K25" s="17"/>
      <c r="M25" s="17"/>
      <c r="N25" s="17"/>
      <c r="O25" s="17"/>
      <c r="P25" s="17"/>
      <c r="Q25" s="17"/>
    </row>
    <row r="26" spans="1:17" x14ac:dyDescent="0.25">
      <c r="B26" s="170" t="s">
        <v>250</v>
      </c>
      <c r="C26" s="170"/>
      <c r="D26" s="170"/>
      <c r="E26" s="170"/>
      <c r="F26" s="170"/>
      <c r="G26" s="170"/>
      <c r="H26" s="170"/>
      <c r="I26" s="170"/>
    </row>
    <row r="27" spans="1:17" x14ac:dyDescent="0.25">
      <c r="B27" s="17"/>
    </row>
    <row r="28" spans="1:17" x14ac:dyDescent="0.25">
      <c r="B28" s="17"/>
    </row>
    <row r="29" spans="1:17" x14ac:dyDescent="0.25">
      <c r="B29" s="17"/>
      <c r="K29" s="17"/>
    </row>
    <row r="30" spans="1:17" x14ac:dyDescent="0.25">
      <c r="K30" s="17"/>
    </row>
    <row r="31" spans="1:17" x14ac:dyDescent="0.25">
      <c r="K31" s="17"/>
    </row>
  </sheetData>
  <sheetProtection sheet="1" selectLockedCells="1"/>
  <protectedRanges>
    <protectedRange password="EFFA" sqref="L3:P12 K15 A15:A18 Q3:Q14 L15:M16 K13:P14 L17:L18 B1:P1 B3:I15 K17:K19 B16:H16 I18:J19 J2:J17 L2:Q2 B23" name="Tartomány1"/>
    <protectedRange password="EFFA" sqref="K2 K4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24">
    <mergeCell ref="B23:I23"/>
    <mergeCell ref="B24:I24"/>
    <mergeCell ref="B25:I25"/>
    <mergeCell ref="B26:I26"/>
    <mergeCell ref="K6:K8"/>
    <mergeCell ref="K10:K13"/>
    <mergeCell ref="F21:G21"/>
    <mergeCell ref="M15:P16"/>
    <mergeCell ref="B15:I15"/>
    <mergeCell ref="B17:H17"/>
    <mergeCell ref="M17:P18"/>
    <mergeCell ref="M19:P22"/>
    <mergeCell ref="M6:P7"/>
    <mergeCell ref="M8:P9"/>
    <mergeCell ref="M10:P10"/>
    <mergeCell ref="M13:P14"/>
    <mergeCell ref="M11:P12"/>
    <mergeCell ref="B1:I1"/>
    <mergeCell ref="M1:P1"/>
    <mergeCell ref="M3:P3"/>
    <mergeCell ref="M4:P4"/>
    <mergeCell ref="M5:P5"/>
    <mergeCell ref="B2:I2"/>
    <mergeCell ref="K2:K4"/>
  </mergeCells>
  <conditionalFormatting sqref="B19:H19">
    <cfRule type="containsText" dxfId="69" priority="7" operator="containsText" text="Vizsga">
      <formula>NOT(ISERROR(SEARCH("Vizsga",B19)))</formula>
    </cfRule>
    <cfRule type="containsText" dxfId="68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6</xdr:col>
                    <xdr:colOff>666750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6</xdr:col>
                    <xdr:colOff>666750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 altText="Tengeri hajón, fedélzeti személyzet tagjaként legalább 9 hónap munkatapasztalat">
                <anchor moveWithCells="1">
                  <from>
                    <xdr:col>1</xdr:col>
                    <xdr:colOff>438150</xdr:colOff>
                    <xdr:row>12</xdr:row>
                    <xdr:rowOff>123825</xdr:rowOff>
                  </from>
                  <to>
                    <xdr:col>7</xdr:col>
                    <xdr:colOff>952500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666750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5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5</xdr:col>
                    <xdr:colOff>371475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6</xdr:col>
                    <xdr:colOff>666750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4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142875</xdr:rowOff>
                  </from>
                  <to>
                    <xdr:col>8</xdr:col>
                    <xdr:colOff>933450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26" t="s">
        <v>43</v>
      </c>
      <c r="B1" s="146" t="s">
        <v>40</v>
      </c>
      <c r="C1" s="146"/>
      <c r="D1" s="146"/>
      <c r="E1" s="146"/>
      <c r="F1" s="146"/>
      <c r="G1" s="146"/>
      <c r="H1" s="146"/>
      <c r="I1" s="146"/>
      <c r="K1" s="5" t="s">
        <v>41</v>
      </c>
      <c r="M1" s="146" t="s">
        <v>6</v>
      </c>
      <c r="N1" s="146"/>
      <c r="O1" s="146"/>
      <c r="P1" s="146"/>
    </row>
    <row r="2" spans="1:17" ht="5.25" customHeight="1" x14ac:dyDescent="0.25">
      <c r="A2" s="24"/>
      <c r="K2" s="1"/>
    </row>
    <row r="3" spans="1:17" ht="15" customHeight="1" x14ac:dyDescent="0.25">
      <c r="B3" s="147" t="s">
        <v>60</v>
      </c>
      <c r="C3" s="147"/>
      <c r="D3" s="147"/>
      <c r="E3" s="147"/>
      <c r="F3" s="147"/>
      <c r="G3" s="147"/>
      <c r="H3" s="147"/>
      <c r="I3" s="147"/>
      <c r="K3" s="200" t="s">
        <v>226</v>
      </c>
      <c r="M3" s="149" t="s">
        <v>11</v>
      </c>
      <c r="N3" s="149"/>
      <c r="O3" s="149"/>
      <c r="P3" s="149"/>
      <c r="Q3" s="25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200"/>
      <c r="M4" s="150" t="s">
        <v>9</v>
      </c>
      <c r="N4" s="150"/>
      <c r="O4" s="150"/>
      <c r="P4" s="150"/>
      <c r="Q4" s="25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200"/>
      <c r="M5" s="150" t="s">
        <v>33</v>
      </c>
      <c r="N5" s="150"/>
      <c r="O5" s="150"/>
      <c r="P5" s="150"/>
      <c r="Q5" s="25">
        <v>3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200"/>
      <c r="M6" s="174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74"/>
      <c r="O6" s="174"/>
      <c r="P6" s="174"/>
      <c r="Q6" s="25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200"/>
      <c r="M7" s="174"/>
      <c r="N7" s="174"/>
      <c r="O7" s="174"/>
      <c r="P7" s="174"/>
      <c r="Q7" s="25"/>
    </row>
    <row r="8" spans="1:17" x14ac:dyDescent="0.25">
      <c r="B8" s="8"/>
      <c r="C8" s="8"/>
      <c r="D8" s="8"/>
      <c r="E8" s="8"/>
      <c r="F8" s="8"/>
      <c r="G8" s="8"/>
      <c r="H8" s="8"/>
      <c r="I8" s="8"/>
      <c r="K8" s="200"/>
      <c r="M8" s="174"/>
      <c r="N8" s="174"/>
      <c r="O8" s="174"/>
      <c r="P8" s="174"/>
      <c r="Q8" s="25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200"/>
      <c r="M9" s="195"/>
      <c r="N9" s="195"/>
      <c r="O9" s="195"/>
      <c r="P9" s="195"/>
      <c r="Q9" s="25"/>
    </row>
    <row r="10" spans="1:17" ht="126.75" customHeight="1" x14ac:dyDescent="0.25">
      <c r="B10" s="199"/>
      <c r="C10" s="199"/>
      <c r="D10" s="199"/>
      <c r="E10" s="199"/>
      <c r="F10" s="199"/>
      <c r="G10" s="199"/>
      <c r="H10" s="199"/>
      <c r="I10" s="199"/>
      <c r="K10" s="200"/>
      <c r="Q10" s="25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57" t="s">
        <v>13</v>
      </c>
      <c r="C12" s="157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48" t="s">
        <v>92</v>
      </c>
      <c r="C13" s="48" t="s">
        <v>93</v>
      </c>
      <c r="D13" s="56" t="s">
        <v>103</v>
      </c>
      <c r="E13"/>
      <c r="H13"/>
      <c r="K13" s="10">
        <f>SUM(B15:D15)</f>
        <v>17300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55" t="s">
        <v>85</v>
      </c>
      <c r="E14"/>
      <c r="I14"/>
      <c r="J14"/>
      <c r="K14"/>
      <c r="L14"/>
    </row>
    <row r="15" spans="1:17" s="1" customFormat="1" x14ac:dyDescent="0.25">
      <c r="B15" s="4">
        <f>IF(Q5&lt;4,KEZDŐLAP!F25,0)</f>
        <v>10800</v>
      </c>
      <c r="C15" s="4">
        <f>IF(Q5&gt;3,KEZDŐLAP!F25,0)</f>
        <v>0</v>
      </c>
      <c r="D15" s="4">
        <f>KEZDŐLAP!F30</f>
        <v>6500</v>
      </c>
      <c r="E15"/>
      <c r="H15" s="2"/>
      <c r="I15"/>
      <c r="J15"/>
      <c r="K15"/>
      <c r="L15"/>
    </row>
  </sheetData>
  <sheetProtection sheet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67" priority="1" operator="containsText" text="Vizsga">
      <formula>NOT(ISERROR(SEARCH("Vizsga",B14)))</formula>
    </cfRule>
    <cfRule type="containsText" dxfId="66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O13"/>
  <sheetViews>
    <sheetView workbookViewId="0"/>
  </sheetViews>
  <sheetFormatPr defaultRowHeight="15" x14ac:dyDescent="0.25"/>
  <cols>
    <col min="1" max="1" width="3.42578125" customWidth="1"/>
    <col min="2" max="2" width="17.85546875" customWidth="1"/>
    <col min="3" max="4" width="8.85546875" customWidth="1"/>
    <col min="5" max="6" width="10" customWidth="1"/>
    <col min="7" max="8" width="8.85546875" customWidth="1"/>
    <col min="9" max="10" width="3.140625" customWidth="1"/>
    <col min="11" max="14" width="11.85546875" customWidth="1"/>
    <col min="15" max="15" width="9.140625" style="24" hidden="1" customWidth="1"/>
  </cols>
  <sheetData>
    <row r="1" spans="1:15" x14ac:dyDescent="0.25">
      <c r="A1" s="26" t="s">
        <v>43</v>
      </c>
      <c r="B1" s="146" t="s">
        <v>42</v>
      </c>
      <c r="C1" s="146"/>
      <c r="D1" s="146"/>
      <c r="E1" s="146"/>
      <c r="F1" s="146"/>
      <c r="G1" s="146"/>
      <c r="H1" s="146"/>
    </row>
    <row r="2" spans="1:15" ht="17.25" customHeight="1" x14ac:dyDescent="0.25">
      <c r="B2" s="202"/>
      <c r="C2" s="202"/>
      <c r="D2" s="202"/>
      <c r="E2" s="202"/>
      <c r="F2" s="202"/>
      <c r="G2" s="202"/>
      <c r="H2" s="202"/>
    </row>
    <row r="3" spans="1:15" ht="15" customHeight="1" x14ac:dyDescent="0.25">
      <c r="B3" s="146" t="s">
        <v>6</v>
      </c>
      <c r="C3" s="146"/>
      <c r="D3" s="146"/>
      <c r="E3" s="146"/>
      <c r="O3" s="25" t="b">
        <v>0</v>
      </c>
    </row>
    <row r="4" spans="1:15" x14ac:dyDescent="0.25">
      <c r="B4" s="178" t="s">
        <v>225</v>
      </c>
      <c r="C4" s="179"/>
      <c r="D4" s="179"/>
      <c r="E4" s="180"/>
      <c r="O4" s="25" t="b">
        <v>0</v>
      </c>
    </row>
    <row r="5" spans="1:15" x14ac:dyDescent="0.25">
      <c r="B5" s="149" t="s">
        <v>11</v>
      </c>
      <c r="C5" s="149"/>
      <c r="D5" s="149"/>
      <c r="E5" s="149"/>
      <c r="O5" s="25"/>
    </row>
    <row r="6" spans="1:15" x14ac:dyDescent="0.25">
      <c r="B6" s="150" t="s">
        <v>9</v>
      </c>
      <c r="C6" s="150"/>
      <c r="D6" s="150"/>
      <c r="E6" s="150"/>
      <c r="O6" s="25"/>
    </row>
    <row r="7" spans="1:15" x14ac:dyDescent="0.25">
      <c r="K7" s="195"/>
      <c r="L7" s="195"/>
      <c r="M7" s="195"/>
      <c r="N7" s="195"/>
      <c r="O7" s="25"/>
    </row>
    <row r="8" spans="1:15" ht="8.25" customHeight="1" x14ac:dyDescent="0.25"/>
    <row r="9" spans="1:15" ht="39" customHeight="1" x14ac:dyDescent="0.25">
      <c r="B9" s="106" t="s">
        <v>13</v>
      </c>
      <c r="E9" s="190" t="s">
        <v>89</v>
      </c>
      <c r="F9" s="190"/>
      <c r="K9" s="170"/>
      <c r="L9" s="170"/>
      <c r="M9" s="170"/>
      <c r="N9" s="170"/>
    </row>
    <row r="10" spans="1:15" s="2" customFormat="1" ht="124.5" customHeight="1" x14ac:dyDescent="0.25">
      <c r="B10" s="3" t="s">
        <v>42</v>
      </c>
      <c r="C10" s="48" t="s">
        <v>242</v>
      </c>
      <c r="D10"/>
      <c r="E10" s="201">
        <f>SUM(B12:C12)</f>
        <v>17300</v>
      </c>
      <c r="F10" s="201"/>
      <c r="G10"/>
      <c r="H10"/>
      <c r="J10"/>
      <c r="O10" s="27"/>
    </row>
    <row r="11" spans="1:15" s="2" customFormat="1" ht="15.75" customHeight="1" x14ac:dyDescent="0.25">
      <c r="B11" s="6" t="str">
        <f>IF(B12&lt;&gt;0,"Vizsga","-")</f>
        <v>Vizsga</v>
      </c>
      <c r="C11" s="42" t="s">
        <v>85</v>
      </c>
      <c r="D11"/>
      <c r="E11"/>
      <c r="F11"/>
      <c r="G11"/>
      <c r="H11"/>
      <c r="N11" s="1"/>
      <c r="O11" s="27"/>
    </row>
    <row r="12" spans="1:15" s="1" customFormat="1" x14ac:dyDescent="0.25">
      <c r="B12" s="4">
        <f>KEZDŐLAP!F25</f>
        <v>10800</v>
      </c>
      <c r="C12" s="41">
        <f>KEZDŐLAP!F30</f>
        <v>6500</v>
      </c>
      <c r="D12"/>
      <c r="E12"/>
      <c r="F12"/>
      <c r="G12"/>
      <c r="H12"/>
      <c r="J12" s="2"/>
      <c r="K12"/>
      <c r="L12"/>
      <c r="M12"/>
      <c r="N12"/>
      <c r="O12" s="28"/>
    </row>
    <row r="13" spans="1:15" x14ac:dyDescent="0.25">
      <c r="B13" s="46" t="s">
        <v>88</v>
      </c>
      <c r="C13" s="45">
        <f>SUM(B12:B12)</f>
        <v>10800</v>
      </c>
    </row>
  </sheetData>
  <sheetProtection sheet="1" selectLockedCells="1"/>
  <protectedRanges>
    <protectedRange password="EFFA" sqref="K10:N11 K7:N8 B1 F3:I6 B3:E3 B4:E4 E10 C8:I8 A8:B12 I9:I12 I2 C1:I1 B7:I7 J1:J12 O2:O7 B5:E6" name="Tartomány1"/>
    <protectedRange password="EFFA" sqref="K9:N9" name="Tartomány1_1_1"/>
    <protectedRange password="EFFA" sqref="A1" name="Tartomány1_3"/>
    <protectedRange password="EFFA" sqref="B2:H2" name="Tartomány1_4"/>
    <protectedRange password="EFFA" sqref="C10:C12" name="Tartomány1_1"/>
    <protectedRange password="EFFA" sqref="E9" name="Tartomány1_5"/>
  </protectedRanges>
  <mergeCells count="10">
    <mergeCell ref="E10:F10"/>
    <mergeCell ref="E9:F9"/>
    <mergeCell ref="K7:N7"/>
    <mergeCell ref="K9:N9"/>
    <mergeCell ref="B1:H1"/>
    <mergeCell ref="B3:E3"/>
    <mergeCell ref="B5:E5"/>
    <mergeCell ref="B6:E6"/>
    <mergeCell ref="B2:H2"/>
    <mergeCell ref="B4:E4"/>
  </mergeCells>
  <conditionalFormatting sqref="B11">
    <cfRule type="containsText" dxfId="65" priority="1" operator="containsText" text="Vizsga">
      <formula>NOT(ISERROR(SEARCH("Vizsga",B11)))</formula>
    </cfRule>
    <cfRule type="containsText" dxfId="64" priority="2" operator="containsText" text="&quot;Vizsga&quot;">
      <formula>NOT(ISERROR(SEARCH("""Vizsga""",B11)))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AC14"/>
  <sheetViews>
    <sheetView zoomScale="85" zoomScaleNormal="85" workbookViewId="0">
      <selection sqref="A1:A2"/>
    </sheetView>
  </sheetViews>
  <sheetFormatPr defaultRowHeight="15" x14ac:dyDescent="0.25"/>
  <cols>
    <col min="1" max="1" width="65.140625" style="2" customWidth="1"/>
    <col min="2" max="16" width="9.140625" style="19" customWidth="1"/>
    <col min="17" max="17" width="3.5703125" customWidth="1"/>
    <col min="18" max="29" width="7.42578125" customWidth="1"/>
  </cols>
  <sheetData>
    <row r="1" spans="1:29" s="30" customFormat="1" ht="166.5" customHeight="1" x14ac:dyDescent="0.25">
      <c r="A1" s="205" t="s">
        <v>43</v>
      </c>
      <c r="B1" s="131" t="s">
        <v>44</v>
      </c>
      <c r="C1" s="129" t="s">
        <v>45</v>
      </c>
      <c r="D1" s="129" t="s">
        <v>46</v>
      </c>
      <c r="E1" s="129" t="s">
        <v>47</v>
      </c>
      <c r="F1" s="129" t="s">
        <v>48</v>
      </c>
      <c r="G1" s="129" t="s">
        <v>49</v>
      </c>
      <c r="H1" s="130" t="s">
        <v>50</v>
      </c>
      <c r="I1" s="131" t="s">
        <v>51</v>
      </c>
      <c r="J1" s="129" t="s">
        <v>52</v>
      </c>
      <c r="K1" s="129" t="s">
        <v>53</v>
      </c>
      <c r="L1" s="129" t="s">
        <v>288</v>
      </c>
      <c r="M1" s="129" t="s">
        <v>289</v>
      </c>
      <c r="N1" s="129" t="s">
        <v>290</v>
      </c>
      <c r="O1" s="130" t="s">
        <v>291</v>
      </c>
      <c r="P1" s="210" t="s">
        <v>54</v>
      </c>
    </row>
    <row r="2" spans="1:29" s="30" customFormat="1" ht="22.5" customHeight="1" thickBot="1" x14ac:dyDescent="0.3">
      <c r="A2" s="206"/>
      <c r="B2" s="207" t="s">
        <v>282</v>
      </c>
      <c r="C2" s="208"/>
      <c r="D2" s="208"/>
      <c r="E2" s="208"/>
      <c r="F2" s="208"/>
      <c r="G2" s="208"/>
      <c r="H2" s="209"/>
      <c r="I2" s="212" t="s">
        <v>283</v>
      </c>
      <c r="J2" s="212"/>
      <c r="K2" s="212"/>
      <c r="L2" s="212"/>
      <c r="M2" s="212"/>
      <c r="N2" s="212"/>
      <c r="O2" s="213"/>
      <c r="P2" s="211"/>
    </row>
    <row r="3" spans="1:29" s="31" customFormat="1" ht="36.75" customHeight="1" x14ac:dyDescent="0.25">
      <c r="A3" s="136" t="s">
        <v>55</v>
      </c>
      <c r="B3" s="137">
        <f>KEZDŐLAP!$F$26</f>
        <v>17400</v>
      </c>
      <c r="C3" s="138">
        <f>KEZDŐLAP!$F$26</f>
        <v>17400</v>
      </c>
      <c r="D3" s="138">
        <f>KEZDŐLAP!$F$26</f>
        <v>17400</v>
      </c>
      <c r="E3" s="138">
        <f>KEZDŐLAP!$F$26</f>
        <v>17400</v>
      </c>
      <c r="F3" s="138">
        <f>KEZDŐLAP!$F$26</f>
        <v>17400</v>
      </c>
      <c r="G3" s="138"/>
      <c r="H3" s="138"/>
      <c r="I3" s="138"/>
      <c r="J3" s="138"/>
      <c r="K3" s="138"/>
      <c r="L3" s="138"/>
      <c r="M3" s="138"/>
      <c r="N3" s="138"/>
      <c r="O3" s="138"/>
      <c r="P3" s="139">
        <f>SUM(B3:O3)</f>
        <v>87000</v>
      </c>
      <c r="R3" s="203" t="s">
        <v>293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</row>
    <row r="4" spans="1:29" s="31" customFormat="1" ht="36.75" customHeight="1" x14ac:dyDescent="0.25">
      <c r="A4" s="32" t="s">
        <v>56</v>
      </c>
      <c r="B4" s="105"/>
      <c r="C4" s="33"/>
      <c r="D4" s="33"/>
      <c r="E4" s="33"/>
      <c r="F4" s="33"/>
      <c r="G4" s="33">
        <f>KEZDŐLAP!$F$26</f>
        <v>17400</v>
      </c>
      <c r="H4" s="33"/>
      <c r="I4" s="33"/>
      <c r="J4" s="33"/>
      <c r="K4" s="33"/>
      <c r="L4" s="33"/>
      <c r="M4" s="33"/>
      <c r="N4" s="33"/>
      <c r="O4" s="33"/>
      <c r="P4" s="39">
        <f t="shared" ref="P4:P13" si="0">SUM(B4:O4)</f>
        <v>17400</v>
      </c>
      <c r="Q4" s="34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</row>
    <row r="5" spans="1:29" s="31" customFormat="1" ht="36.75" customHeight="1" x14ac:dyDescent="0.25">
      <c r="A5" s="32" t="s">
        <v>57</v>
      </c>
      <c r="B5" s="105"/>
      <c r="C5" s="33"/>
      <c r="D5" s="33"/>
      <c r="E5" s="33"/>
      <c r="F5" s="33"/>
      <c r="G5" s="33"/>
      <c r="H5" s="33">
        <f>KEZDŐLAP!$F$26</f>
        <v>17400</v>
      </c>
      <c r="I5" s="33"/>
      <c r="J5" s="33"/>
      <c r="K5" s="33"/>
      <c r="L5" s="33"/>
      <c r="M5" s="33"/>
      <c r="N5" s="33"/>
      <c r="O5" s="33"/>
      <c r="P5" s="39">
        <f t="shared" si="0"/>
        <v>17400</v>
      </c>
      <c r="Q5" s="34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</row>
    <row r="6" spans="1:29" s="31" customFormat="1" ht="36.75" customHeight="1" x14ac:dyDescent="0.25">
      <c r="A6" s="32" t="s">
        <v>284</v>
      </c>
      <c r="B6" s="105"/>
      <c r="C6" s="33"/>
      <c r="D6" s="33"/>
      <c r="E6" s="33"/>
      <c r="F6" s="33"/>
      <c r="G6" s="33"/>
      <c r="H6" s="33"/>
      <c r="I6" s="33">
        <f>KEZDŐLAP!$F$26</f>
        <v>17400</v>
      </c>
      <c r="J6" s="33">
        <f>KEZDŐLAP!$F$26</f>
        <v>17400</v>
      </c>
      <c r="K6" s="33">
        <f>KEZDŐLAP!$F$26</f>
        <v>17400</v>
      </c>
      <c r="L6" s="33">
        <f>KEZDŐLAP!$F$26</f>
        <v>17400</v>
      </c>
      <c r="M6" s="33"/>
      <c r="N6" s="33"/>
      <c r="O6" s="33"/>
      <c r="P6" s="39">
        <f t="shared" si="0"/>
        <v>69600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s="31" customFormat="1" ht="36.75" customHeight="1" x14ac:dyDescent="0.25">
      <c r="A7" s="32" t="s">
        <v>285</v>
      </c>
      <c r="B7" s="105"/>
      <c r="C7" s="33"/>
      <c r="D7" s="33"/>
      <c r="E7" s="33"/>
      <c r="F7" s="33"/>
      <c r="G7" s="33"/>
      <c r="H7" s="33"/>
      <c r="I7" s="33">
        <f>KEZDŐLAP!$F$26</f>
        <v>17400</v>
      </c>
      <c r="J7" s="33">
        <f>KEZDŐLAP!$F$26</f>
        <v>17400</v>
      </c>
      <c r="K7" s="33">
        <f>KEZDŐLAP!$F$26</f>
        <v>17400</v>
      </c>
      <c r="L7" s="33"/>
      <c r="M7" s="33">
        <f>KEZDŐLAP!$F$26</f>
        <v>17400</v>
      </c>
      <c r="N7" s="33"/>
      <c r="O7" s="33"/>
      <c r="P7" s="39">
        <f t="shared" si="0"/>
        <v>69600</v>
      </c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29" s="31" customFormat="1" ht="36.75" customHeight="1" x14ac:dyDescent="0.25">
      <c r="A8" s="32" t="s">
        <v>286</v>
      </c>
      <c r="B8" s="105"/>
      <c r="C8" s="33"/>
      <c r="D8" s="33"/>
      <c r="E8" s="33"/>
      <c r="F8" s="33"/>
      <c r="G8" s="33"/>
      <c r="H8" s="33"/>
      <c r="I8" s="33">
        <f>KEZDŐLAP!$F$26</f>
        <v>17400</v>
      </c>
      <c r="J8" s="33">
        <f>KEZDŐLAP!$F$26</f>
        <v>17400</v>
      </c>
      <c r="K8" s="33">
        <f>KEZDŐLAP!$F$26</f>
        <v>17400</v>
      </c>
      <c r="L8" s="33"/>
      <c r="M8" s="33"/>
      <c r="N8" s="33">
        <f>KEZDŐLAP!$F$26</f>
        <v>17400</v>
      </c>
      <c r="O8" s="33"/>
      <c r="P8" s="39">
        <f t="shared" si="0"/>
        <v>69600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1:29" s="31" customFormat="1" ht="36.75" customHeight="1" x14ac:dyDescent="0.25">
      <c r="A9" s="32" t="s">
        <v>287</v>
      </c>
      <c r="B9" s="105"/>
      <c r="C9" s="33"/>
      <c r="D9" s="33"/>
      <c r="E9" s="33"/>
      <c r="F9" s="33"/>
      <c r="G9" s="33"/>
      <c r="H9" s="33"/>
      <c r="I9" s="33">
        <f>KEZDŐLAP!$F$26</f>
        <v>17400</v>
      </c>
      <c r="J9" s="33">
        <f>KEZDŐLAP!$F$26</f>
        <v>17400</v>
      </c>
      <c r="K9" s="33">
        <f>KEZDŐLAP!$F$26</f>
        <v>17400</v>
      </c>
      <c r="L9" s="33"/>
      <c r="M9" s="33"/>
      <c r="N9" s="33"/>
      <c r="O9" s="33">
        <f>KEZDŐLAP!$F$26</f>
        <v>17400</v>
      </c>
      <c r="P9" s="39">
        <f t="shared" si="0"/>
        <v>69600</v>
      </c>
      <c r="R9" s="126"/>
      <c r="S9" s="126"/>
      <c r="T9" s="126"/>
      <c r="U9" s="126"/>
      <c r="W9" s="126"/>
      <c r="X9" s="126"/>
      <c r="Y9" s="126"/>
      <c r="Z9" s="126"/>
      <c r="AA9" s="126"/>
      <c r="AB9" s="126"/>
      <c r="AC9" s="126"/>
    </row>
    <row r="10" spans="1:29" s="31" customFormat="1" ht="36.75" customHeight="1" x14ac:dyDescent="0.25">
      <c r="A10" s="132" t="s">
        <v>294</v>
      </c>
      <c r="B10" s="128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>
        <v>16000</v>
      </c>
      <c r="O10" s="127"/>
      <c r="P10" s="39">
        <f t="shared" si="0"/>
        <v>16000</v>
      </c>
      <c r="S10" s="35"/>
    </row>
    <row r="11" spans="1:29" s="31" customFormat="1" ht="36.75" customHeight="1" x14ac:dyDescent="0.25">
      <c r="A11" s="132" t="s">
        <v>295</v>
      </c>
      <c r="B11" s="128"/>
      <c r="C11" s="127"/>
      <c r="D11" s="127"/>
      <c r="E11" s="127"/>
      <c r="F11" s="127"/>
      <c r="G11" s="127"/>
      <c r="H11" s="127"/>
      <c r="I11" s="127"/>
      <c r="J11" s="127"/>
      <c r="K11" s="127"/>
      <c r="L11" s="214" t="s">
        <v>292</v>
      </c>
      <c r="M11" s="215"/>
      <c r="N11" s="215"/>
      <c r="O11" s="216"/>
      <c r="P11" s="39">
        <f t="shared" si="0"/>
        <v>0</v>
      </c>
      <c r="Q11" s="34"/>
    </row>
    <row r="12" spans="1:29" s="31" customFormat="1" ht="36.75" customHeight="1" x14ac:dyDescent="0.25">
      <c r="A12" s="132" t="s">
        <v>296</v>
      </c>
      <c r="B12" s="128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>
        <v>16000</v>
      </c>
      <c r="N12" s="127"/>
      <c r="O12" s="127"/>
      <c r="P12" s="39">
        <f t="shared" si="0"/>
        <v>16000</v>
      </c>
      <c r="Q12" s="34"/>
    </row>
    <row r="13" spans="1:29" s="31" customFormat="1" ht="36.75" customHeight="1" thickBot="1" x14ac:dyDescent="0.3">
      <c r="A13" s="133" t="s">
        <v>297</v>
      </c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>
        <v>16000</v>
      </c>
      <c r="M13" s="135"/>
      <c r="N13" s="135"/>
      <c r="O13" s="135"/>
      <c r="P13" s="40">
        <f t="shared" si="0"/>
        <v>16000</v>
      </c>
      <c r="Q13" s="34"/>
    </row>
    <row r="14" spans="1:29" s="34" customFormat="1" ht="30" customHeight="1" x14ac:dyDescent="0.25">
      <c r="A14" s="204" t="str">
        <f>"A vizsgadíjon felül, kiállítandó okmányonként "&amp;KEZDŐLAP!F30&amp;" Ft okmány kiállítási díj befizetése is szükséges."</f>
        <v>A vizsgadíjon felül, kiállítandó okmányonként 6500 Ft okmány kiállítási díj befizetése is szükséges.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</sheetData>
  <sheetProtection sheet="1" selectLockedCells="1"/>
  <mergeCells count="7">
    <mergeCell ref="R3:AC5"/>
    <mergeCell ref="A14:P14"/>
    <mergeCell ref="A1:A2"/>
    <mergeCell ref="B2:H2"/>
    <mergeCell ref="P1:P2"/>
    <mergeCell ref="I2:O2"/>
    <mergeCell ref="L11:O11"/>
  </mergeCells>
  <phoneticPr fontId="36" type="noConversion"/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6"/>
  <sheetViews>
    <sheetView workbookViewId="0"/>
  </sheetViews>
  <sheetFormatPr defaultRowHeight="15" x14ac:dyDescent="0.25"/>
  <cols>
    <col min="1" max="1" width="3.42578125" customWidth="1"/>
    <col min="2" max="10" width="14.7109375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1.5703125" style="25" customWidth="1"/>
  </cols>
  <sheetData>
    <row r="1" spans="1:18" x14ac:dyDescent="0.25">
      <c r="A1" s="26" t="s">
        <v>43</v>
      </c>
      <c r="B1" s="146" t="s">
        <v>77</v>
      </c>
      <c r="C1" s="146"/>
      <c r="D1" s="146"/>
      <c r="E1" s="146"/>
      <c r="F1" s="146"/>
      <c r="G1" s="146"/>
      <c r="H1" s="146"/>
      <c r="I1" s="146"/>
      <c r="L1" s="5" t="s">
        <v>1</v>
      </c>
      <c r="N1" s="146" t="s">
        <v>6</v>
      </c>
      <c r="O1" s="146"/>
      <c r="P1" s="146"/>
      <c r="Q1" s="146"/>
    </row>
    <row r="2" spans="1:18" ht="17.25" customHeight="1" x14ac:dyDescent="0.25">
      <c r="B2" s="147" t="s">
        <v>76</v>
      </c>
      <c r="C2" s="147"/>
      <c r="D2" s="147"/>
      <c r="E2" s="147"/>
      <c r="F2" s="147"/>
      <c r="G2" s="147"/>
      <c r="H2" s="147"/>
      <c r="I2" s="147"/>
      <c r="J2" s="147"/>
      <c r="L2" s="222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49" t="s">
        <v>66</v>
      </c>
      <c r="O2" s="149"/>
      <c r="P2" s="149"/>
      <c r="Q2" s="149"/>
      <c r="R2" s="64"/>
    </row>
    <row r="3" spans="1:18" ht="15" customHeight="1" x14ac:dyDescent="0.25">
      <c r="B3" s="147"/>
      <c r="C3" s="147"/>
      <c r="D3" s="147"/>
      <c r="E3" s="147"/>
      <c r="F3" s="147"/>
      <c r="G3" s="147"/>
      <c r="H3" s="147"/>
      <c r="I3" s="147"/>
      <c r="J3" s="147"/>
      <c r="L3" s="222"/>
      <c r="N3" s="149" t="s">
        <v>239</v>
      </c>
      <c r="O3" s="149"/>
      <c r="P3" s="149"/>
      <c r="Q3" s="149"/>
      <c r="R3" s="64" t="b">
        <v>0</v>
      </c>
    </row>
    <row r="4" spans="1:18" x14ac:dyDescent="0.25">
      <c r="B4" s="147"/>
      <c r="C4" s="147"/>
      <c r="D4" s="147"/>
      <c r="E4" s="147"/>
      <c r="F4" s="147"/>
      <c r="G4" s="147"/>
      <c r="H4" s="147"/>
      <c r="I4" s="147"/>
      <c r="J4" s="147"/>
      <c r="L4" s="222"/>
      <c r="N4" s="150" t="str">
        <f>IF(OR(R3,R4,R5)=TRUE,"Vizsgadíj és/vagy felmentési díj befizetésének igazolása","Vizsgadíj befizetésének igazolása")</f>
        <v>Vizsgadíj befizetésének igazolása</v>
      </c>
      <c r="O4" s="150"/>
      <c r="P4" s="150"/>
      <c r="Q4" s="150"/>
      <c r="R4" s="64" t="b">
        <v>0</v>
      </c>
    </row>
    <row r="5" spans="1:18" ht="15" customHeight="1" x14ac:dyDescent="0.25">
      <c r="B5" s="147"/>
      <c r="C5" s="147"/>
      <c r="D5" s="147"/>
      <c r="E5" s="147"/>
      <c r="F5" s="147"/>
      <c r="G5" s="147"/>
      <c r="H5" s="147"/>
      <c r="I5" s="147"/>
      <c r="J5" s="147"/>
      <c r="L5" s="222"/>
      <c r="N5" s="149" t="s">
        <v>243</v>
      </c>
      <c r="O5" s="149"/>
      <c r="P5" s="149"/>
      <c r="Q5" s="149" t="b">
        <v>0</v>
      </c>
      <c r="R5" s="64" t="b">
        <v>0</v>
      </c>
    </row>
    <row r="6" spans="1:18" x14ac:dyDescent="0.25">
      <c r="B6" s="147"/>
      <c r="C6" s="147"/>
      <c r="D6" s="147"/>
      <c r="E6" s="147"/>
      <c r="F6" s="147"/>
      <c r="G6" s="147"/>
      <c r="H6" s="147"/>
      <c r="I6" s="147"/>
      <c r="J6" s="147"/>
      <c r="L6" s="222"/>
      <c r="N6" s="149"/>
      <c r="O6" s="149"/>
      <c r="P6" s="149"/>
      <c r="Q6" s="149"/>
      <c r="R6" s="64"/>
    </row>
    <row r="7" spans="1:18" x14ac:dyDescent="0.25">
      <c r="B7" s="147"/>
      <c r="C7" s="147"/>
      <c r="D7" s="147"/>
      <c r="E7" s="147"/>
      <c r="F7" s="147"/>
      <c r="G7" s="147"/>
      <c r="H7" s="147"/>
      <c r="I7" s="147"/>
      <c r="J7" s="147"/>
      <c r="K7" s="9"/>
      <c r="L7" s="222"/>
      <c r="N7" s="149"/>
      <c r="O7" s="149"/>
      <c r="P7" s="149"/>
      <c r="Q7" s="149"/>
      <c r="R7" s="64"/>
    </row>
    <row r="8" spans="1:18" x14ac:dyDescent="0.25">
      <c r="B8" s="147"/>
      <c r="C8" s="147"/>
      <c r="D8" s="147"/>
      <c r="E8" s="147"/>
      <c r="F8" s="147"/>
      <c r="G8" s="147"/>
      <c r="H8" s="147"/>
      <c r="I8" s="147"/>
      <c r="J8" s="147"/>
      <c r="L8" s="222"/>
      <c r="N8" s="149" t="s">
        <v>33</v>
      </c>
      <c r="O8" s="149"/>
      <c r="P8" s="149"/>
      <c r="Q8" s="149" t="b">
        <v>0</v>
      </c>
      <c r="R8" s="64"/>
    </row>
    <row r="9" spans="1:18" ht="32.25" customHeight="1" x14ac:dyDescent="0.25">
      <c r="N9" s="174" t="str">
        <f>IF(OR(R3)=TRUE,"Hajózási vagy gépészeti képesítő bizonyítvány vagy képzési igazolás","Legalább alapfokú iskolai végzettség igazolása")</f>
        <v>Legalább alapfokú iskolai végzettség igazolása</v>
      </c>
      <c r="O9" s="174"/>
      <c r="P9" s="174"/>
      <c r="Q9" s="174"/>
      <c r="R9" s="64"/>
    </row>
    <row r="10" spans="1:18" ht="32.25" customHeight="1" x14ac:dyDescent="0.25">
      <c r="B10" s="219" t="s">
        <v>13</v>
      </c>
      <c r="C10" s="220"/>
      <c r="D10" s="220"/>
      <c r="E10" s="220"/>
      <c r="F10" s="220"/>
      <c r="G10" s="220"/>
      <c r="H10" s="220"/>
      <c r="I10" s="220"/>
      <c r="J10" s="221"/>
      <c r="K10" s="1"/>
      <c r="L10" s="36" t="s">
        <v>107</v>
      </c>
      <c r="N10" s="167" t="str">
        <f>IF(OR(R3,R4,R5)=TRUE,"Felmentési kérelemhez: képesítő okmány, vizsgajegyzőkönyv, leckekönyv vagy tanterv","")</f>
        <v/>
      </c>
      <c r="O10" s="168"/>
      <c r="P10" s="168"/>
      <c r="Q10" s="169"/>
      <c r="R10" s="64"/>
    </row>
    <row r="11" spans="1:18" s="2" customFormat="1" ht="145.5" customHeight="1" x14ac:dyDescent="0.25">
      <c r="B11" s="3" t="s">
        <v>74</v>
      </c>
      <c r="C11" s="3" t="s">
        <v>67</v>
      </c>
      <c r="D11" s="3" t="s">
        <v>68</v>
      </c>
      <c r="E11" s="3" t="s">
        <v>75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84</v>
      </c>
      <c r="L11" s="10">
        <f>SUM(B13:K13)</f>
        <v>163100</v>
      </c>
      <c r="M11"/>
      <c r="N11" s="158" t="str">
        <f>IF(R3=TRUE,"Hajózási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O11" s="158"/>
      <c r="P11" s="158"/>
      <c r="Q11" s="158"/>
      <c r="R11" s="23"/>
    </row>
    <row r="12" spans="1:18" s="17" customFormat="1" ht="27.75" customHeight="1" x14ac:dyDescent="0.25">
      <c r="B12" s="87" t="str">
        <f>IF(OR($R$3,$R$4,$R$5)=TRUE,"Vizsga/felmentés","Vizsga")</f>
        <v>Vizsga</v>
      </c>
      <c r="C12" s="87" t="str">
        <f t="shared" ref="C12:J12" si="0">IF(OR($R$3,$R$4,$R$5)=TRUE,"Vizsga/felmentés","Vizsga")</f>
        <v>Vizsga</v>
      </c>
      <c r="D12" s="87" t="str">
        <f t="shared" si="0"/>
        <v>Vizsga</v>
      </c>
      <c r="E12" s="87" t="str">
        <f t="shared" si="0"/>
        <v>Vizsga</v>
      </c>
      <c r="F12" s="87" t="str">
        <f t="shared" si="0"/>
        <v>Vizsga</v>
      </c>
      <c r="G12" s="87" t="str">
        <f t="shared" si="0"/>
        <v>Vizsga</v>
      </c>
      <c r="H12" s="87" t="str">
        <f t="shared" si="0"/>
        <v>Vizsga</v>
      </c>
      <c r="I12" s="87" t="str">
        <f t="shared" si="0"/>
        <v>Vizsga</v>
      </c>
      <c r="J12" s="87" t="str">
        <f t="shared" si="0"/>
        <v>Vizsga</v>
      </c>
      <c r="K12" s="59" t="s">
        <v>85</v>
      </c>
      <c r="N12" s="217" t="s">
        <v>244</v>
      </c>
      <c r="O12" s="217"/>
      <c r="P12" s="217"/>
      <c r="Q12" s="217"/>
      <c r="R12" s="108"/>
    </row>
    <row r="13" spans="1:18" s="1" customFormat="1" ht="15" customHeight="1" x14ac:dyDescent="0.25">
      <c r="B13" s="4">
        <f>KEZDŐLAP!$F$26</f>
        <v>17400</v>
      </c>
      <c r="C13" s="4">
        <f>KEZDŐLAP!$F$26</f>
        <v>17400</v>
      </c>
      <c r="D13" s="4">
        <f>KEZDŐLAP!$F$26</f>
        <v>17400</v>
      </c>
      <c r="E13" s="4">
        <f>KEZDŐLAP!$F$26</f>
        <v>17400</v>
      </c>
      <c r="F13" s="4">
        <f>KEZDŐLAP!$F$26</f>
        <v>17400</v>
      </c>
      <c r="G13" s="4">
        <f>KEZDŐLAP!F27</f>
        <v>17400</v>
      </c>
      <c r="H13" s="4">
        <f>KEZDŐLAP!$F$26</f>
        <v>17400</v>
      </c>
      <c r="I13" s="4">
        <f>KEZDŐLAP!$F$26</f>
        <v>17400</v>
      </c>
      <c r="J13" s="4">
        <f>KEZDŐLAP!$F$26</f>
        <v>17400</v>
      </c>
      <c r="K13" s="41">
        <f>KEZDŐLAP!F30</f>
        <v>6500</v>
      </c>
      <c r="M13" s="2"/>
      <c r="N13" s="218"/>
      <c r="O13" s="218"/>
      <c r="P13" s="218"/>
      <c r="Q13" s="218"/>
      <c r="R13" s="104"/>
    </row>
    <row r="14" spans="1:18" ht="15" customHeight="1" x14ac:dyDescent="0.25">
      <c r="G14" s="191" t="s">
        <v>106</v>
      </c>
      <c r="H14" s="198"/>
      <c r="I14" s="192"/>
      <c r="J14" s="33">
        <f>SUM(B13:J13)</f>
        <v>156600</v>
      </c>
      <c r="K14" s="45"/>
      <c r="N14" s="218"/>
      <c r="O14" s="218"/>
      <c r="P14" s="218"/>
      <c r="Q14" s="218"/>
    </row>
    <row r="15" spans="1:18" ht="15" customHeight="1" x14ac:dyDescent="0.25">
      <c r="N15" s="218"/>
      <c r="O15" s="218"/>
      <c r="P15" s="218"/>
      <c r="Q15" s="218"/>
    </row>
    <row r="16" spans="1:18" x14ac:dyDescent="0.25">
      <c r="N16" s="218"/>
      <c r="O16" s="218"/>
      <c r="P16" s="218"/>
      <c r="Q16" s="218"/>
    </row>
  </sheetData>
  <sheetProtection sheet="1" selectLockedCells="1"/>
  <protectedRanges>
    <protectedRange password="EFFA" sqref="N12:Q13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2"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2:Q2"/>
    <mergeCell ref="N5:Q6"/>
    <mergeCell ref="N7:Q7"/>
    <mergeCell ref="B2:J2"/>
    <mergeCell ref="B3:J3"/>
    <mergeCell ref="B4:J4"/>
    <mergeCell ref="B5:J5"/>
    <mergeCell ref="N11:Q11"/>
    <mergeCell ref="N12:Q16"/>
    <mergeCell ref="N9:Q9"/>
    <mergeCell ref="N10:Q10"/>
    <mergeCell ref="G14:I14"/>
    <mergeCell ref="B10:J10"/>
  </mergeCells>
  <conditionalFormatting sqref="B12:J12">
    <cfRule type="containsText" dxfId="63" priority="1" operator="containsText" text="Vizsga">
      <formula>NOT(ISERROR(SEARCH("Vizsga",B12)))</formula>
    </cfRule>
    <cfRule type="containsText" dxfId="62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142875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123825</xdr:rowOff>
                  </from>
                  <to>
                    <xdr:col>9</xdr:col>
                    <xdr:colOff>790575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161925</xdr:rowOff>
                  </from>
                  <to>
                    <xdr:col>8</xdr:col>
                    <xdr:colOff>647700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7" width="17.710937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5703125" style="24" customWidth="1"/>
  </cols>
  <sheetData>
    <row r="1" spans="1:18" x14ac:dyDescent="0.25">
      <c r="A1" s="26" t="s">
        <v>43</v>
      </c>
      <c r="B1" s="146" t="s">
        <v>78</v>
      </c>
      <c r="C1" s="146"/>
      <c r="D1" s="146"/>
      <c r="E1" s="146"/>
      <c r="F1" s="146"/>
      <c r="G1" s="146"/>
      <c r="H1" s="146"/>
      <c r="I1" s="146"/>
      <c r="L1" s="5" t="s">
        <v>1</v>
      </c>
      <c r="N1" s="146" t="s">
        <v>6</v>
      </c>
      <c r="O1" s="146"/>
      <c r="P1" s="146"/>
      <c r="Q1" s="146"/>
    </row>
    <row r="2" spans="1:18" ht="17.25" customHeight="1" x14ac:dyDescent="0.25">
      <c r="B2" s="147" t="s">
        <v>76</v>
      </c>
      <c r="C2" s="147"/>
      <c r="D2" s="147"/>
      <c r="E2" s="147"/>
      <c r="F2" s="147"/>
      <c r="G2" s="147"/>
      <c r="H2" s="147"/>
      <c r="I2" s="147"/>
      <c r="J2" s="147"/>
      <c r="L2" s="222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74" t="s">
        <v>66</v>
      </c>
      <c r="O2" s="174"/>
      <c r="P2" s="174"/>
      <c r="Q2" s="174"/>
      <c r="R2" s="65"/>
    </row>
    <row r="3" spans="1:18" ht="15" customHeight="1" x14ac:dyDescent="0.25">
      <c r="B3" s="147"/>
      <c r="C3" s="147"/>
      <c r="D3" s="147"/>
      <c r="E3" s="147"/>
      <c r="F3" s="147"/>
      <c r="G3" s="147"/>
      <c r="H3" s="147"/>
      <c r="I3" s="147"/>
      <c r="J3" s="147"/>
      <c r="L3" s="222"/>
      <c r="N3" s="174" t="str">
        <f>IF(R4=TRUE,"Okmányigénylés","Írásos vizsgajelentkezési/felmentési kérelem")</f>
        <v>Írásos vizsgajelentkezési/felmentési kérelem</v>
      </c>
      <c r="O3" s="174"/>
      <c r="P3" s="174"/>
      <c r="Q3" s="174"/>
      <c r="R3" s="64" t="b">
        <v>0</v>
      </c>
    </row>
    <row r="4" spans="1:18" x14ac:dyDescent="0.25">
      <c r="B4" s="147"/>
      <c r="C4" s="147"/>
      <c r="D4" s="147"/>
      <c r="E4" s="147"/>
      <c r="F4" s="147"/>
      <c r="G4" s="147"/>
      <c r="H4" s="147"/>
      <c r="I4" s="147"/>
      <c r="J4" s="147"/>
      <c r="L4" s="222"/>
      <c r="N4" s="177" t="s">
        <v>110</v>
      </c>
      <c r="O4" s="177"/>
      <c r="P4" s="177"/>
      <c r="Q4" s="177"/>
      <c r="R4" s="64" t="b">
        <v>0</v>
      </c>
    </row>
    <row r="5" spans="1:18" ht="15" customHeight="1" x14ac:dyDescent="0.25">
      <c r="B5" s="147"/>
      <c r="C5" s="147"/>
      <c r="D5" s="147"/>
      <c r="E5" s="147"/>
      <c r="F5" s="147"/>
      <c r="G5" s="147"/>
      <c r="H5" s="147"/>
      <c r="I5" s="147"/>
      <c r="J5" s="147"/>
      <c r="L5" s="222"/>
      <c r="N5" s="174" t="s">
        <v>65</v>
      </c>
      <c r="O5" s="174"/>
      <c r="P5" s="174"/>
      <c r="Q5" s="174"/>
      <c r="R5" s="64" t="b">
        <v>0</v>
      </c>
    </row>
    <row r="6" spans="1:18" x14ac:dyDescent="0.25">
      <c r="B6" s="147"/>
      <c r="C6" s="147"/>
      <c r="D6" s="147"/>
      <c r="E6" s="147"/>
      <c r="F6" s="147"/>
      <c r="G6" s="147"/>
      <c r="H6" s="147"/>
      <c r="I6" s="147"/>
      <c r="J6" s="147"/>
      <c r="L6" s="222"/>
      <c r="N6" s="174"/>
      <c r="O6" s="174"/>
      <c r="P6" s="174"/>
      <c r="Q6" s="174"/>
      <c r="R6" s="64" t="b">
        <v>0</v>
      </c>
    </row>
    <row r="7" spans="1:18" ht="30.75" customHeight="1" x14ac:dyDescent="0.25">
      <c r="B7" s="147"/>
      <c r="C7" s="147"/>
      <c r="D7" s="147"/>
      <c r="E7" s="147"/>
      <c r="F7" s="147"/>
      <c r="G7" s="147"/>
      <c r="H7" s="147"/>
      <c r="I7" s="147"/>
      <c r="J7" s="147"/>
      <c r="K7" s="9"/>
      <c r="L7" s="222"/>
      <c r="N7" s="174" t="str">
        <f>IF(OR(R3,R5,R6=TRUE),"Felmentési kérelemhez: képesítő okmány, vizsgajegyzőkönyv, leckekönyv vagy tanterv","")</f>
        <v/>
      </c>
      <c r="O7" s="174"/>
      <c r="P7" s="174"/>
      <c r="Q7" s="174"/>
      <c r="R7" s="64"/>
    </row>
    <row r="8" spans="1:18" x14ac:dyDescent="0.25">
      <c r="B8" s="147"/>
      <c r="C8" s="147"/>
      <c r="D8" s="147"/>
      <c r="E8" s="147"/>
      <c r="F8" s="147"/>
      <c r="G8" s="147"/>
      <c r="H8" s="147"/>
      <c r="I8" s="147"/>
      <c r="J8" s="147"/>
      <c r="L8" s="222"/>
      <c r="N8" s="174" t="str">
        <f>IF(R4=TRUE,"Tengerész géptiszti képesítés","Gépkezelő képesítés")</f>
        <v>Gépkezelő képesítés</v>
      </c>
      <c r="O8" s="174"/>
      <c r="P8" s="174"/>
      <c r="Q8" s="174"/>
      <c r="R8" s="64"/>
    </row>
    <row r="9" spans="1:18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L9" s="68"/>
      <c r="N9" s="167" t="str">
        <f>IF(R3=TRUE,"A hajózási, gépészeti szakképzésben szerzett képesítő bizonyítvány vagy szervezett géptiszti képzés elvégzéséről szóló igazolás bemutatása","")</f>
        <v/>
      </c>
      <c r="O9" s="168"/>
      <c r="P9" s="168"/>
      <c r="Q9" s="169"/>
      <c r="R9" s="64"/>
    </row>
    <row r="10" spans="1:18" ht="21" customHeight="1" x14ac:dyDescent="0.25">
      <c r="N10" s="181" t="str">
        <f>IF(R4=TRUE,"","Igazolás legalább egy nagyjavítás felügyelet mellett történő irányításáról")</f>
        <v>Igazolás legalább egy nagyjavítás felügyelet mellett történő irányításáról</v>
      </c>
      <c r="O10" s="182"/>
      <c r="P10" s="182"/>
      <c r="Q10" s="183"/>
      <c r="R10" s="65"/>
    </row>
    <row r="11" spans="1:18" ht="27.75" customHeight="1" x14ac:dyDescent="0.25">
      <c r="B11" s="157" t="s">
        <v>13</v>
      </c>
      <c r="C11" s="157"/>
      <c r="D11" s="157"/>
      <c r="E11" s="157"/>
      <c r="F11" s="157"/>
      <c r="K11" s="1"/>
      <c r="L11" s="36" t="s">
        <v>113</v>
      </c>
      <c r="N11" s="186"/>
      <c r="O11" s="187"/>
      <c r="P11" s="187"/>
      <c r="Q11" s="188"/>
      <c r="R11" s="65"/>
    </row>
    <row r="12" spans="1:18" s="2" customFormat="1" ht="145.5" customHeight="1" x14ac:dyDescent="0.25">
      <c r="B12" s="3" t="s">
        <v>79</v>
      </c>
      <c r="C12" s="3" t="s">
        <v>81</v>
      </c>
      <c r="D12" s="3" t="s">
        <v>82</v>
      </c>
      <c r="E12" s="3" t="s">
        <v>80</v>
      </c>
      <c r="F12" s="3" t="s">
        <v>83</v>
      </c>
      <c r="G12" s="3" t="s">
        <v>84</v>
      </c>
      <c r="H12"/>
      <c r="I12"/>
      <c r="J12"/>
      <c r="K12" s="37"/>
      <c r="L12" s="10">
        <f>SUM(B14:G14)</f>
        <v>93500</v>
      </c>
      <c r="M12"/>
      <c r="N12" s="217" t="s">
        <v>112</v>
      </c>
      <c r="O12" s="217"/>
      <c r="P12" s="217"/>
      <c r="Q12" s="217"/>
      <c r="R12" s="27"/>
    </row>
    <row r="13" spans="1:18" s="17" customFormat="1" ht="30" customHeight="1" x14ac:dyDescent="0.25">
      <c r="B13" s="87" t="str">
        <f>IF($R$4=TRUE,"-",IF(OR($R$3,$R$6,$R$5)=TRUE,"Vizsga/felmentés","Vizsga"))</f>
        <v>Vizsga</v>
      </c>
      <c r="C13" s="87" t="str">
        <f t="shared" ref="C13:F13" si="0">IF($R$4=TRUE,"-",IF(OR($R$3,$R$6,$R$5)=TRUE,"Vizsga/felmentés","Vizsga"))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59" t="s">
        <v>85</v>
      </c>
      <c r="H13" s="34"/>
      <c r="I13" s="34"/>
      <c r="J13" s="34"/>
      <c r="K13" s="57"/>
      <c r="N13" s="218"/>
      <c r="O13" s="218"/>
      <c r="P13" s="218"/>
      <c r="Q13" s="218"/>
      <c r="R13" s="60"/>
    </row>
    <row r="14" spans="1:18" s="1" customFormat="1" x14ac:dyDescent="0.25">
      <c r="B14" s="4">
        <f>IF($R$4=TRUE,0,KEZDŐLAP!F26)</f>
        <v>17400</v>
      </c>
      <c r="C14" s="4">
        <f>IF($R$4=TRUE,0,KEZDŐLAP!F27)</f>
        <v>17400</v>
      </c>
      <c r="D14" s="4">
        <f>IF($R$4=TRUE,0,KEZDŐLAP!F26)</f>
        <v>17400</v>
      </c>
      <c r="E14" s="4">
        <f>IF($R$4=TRUE,0,KEZDŐLAP!F26)</f>
        <v>17400</v>
      </c>
      <c r="F14" s="4">
        <f>IF($R$4=TRUE,0,KEZDŐLAP!F26)</f>
        <v>17400</v>
      </c>
      <c r="G14" s="41">
        <f>KEZDŐLAP!F30</f>
        <v>6500</v>
      </c>
      <c r="H14"/>
      <c r="I14"/>
      <c r="J14"/>
      <c r="K14" s="38"/>
      <c r="M14" s="2"/>
      <c r="N14" s="218"/>
      <c r="O14" s="218"/>
      <c r="P14" s="218"/>
      <c r="Q14" s="218"/>
      <c r="R14" s="28"/>
    </row>
    <row r="15" spans="1:18" x14ac:dyDescent="0.25">
      <c r="D15" s="46" t="s">
        <v>88</v>
      </c>
      <c r="E15" s="47"/>
      <c r="F15" s="4">
        <f>SUM(B14:F14)</f>
        <v>87000</v>
      </c>
      <c r="G15" s="45"/>
    </row>
  </sheetData>
  <sheetProtection sheet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B7:J7"/>
    <mergeCell ref="N7:Q7"/>
    <mergeCell ref="B8:J8"/>
    <mergeCell ref="N8:Q8"/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</mergeCells>
  <conditionalFormatting sqref="B13:F13 H13:K13">
    <cfRule type="containsText" dxfId="61" priority="1" operator="containsText" text="Vizsga">
      <formula>NOT(ISERROR(SEARCH("Vizsga",B13)))</formula>
    </cfRule>
    <cfRule type="containsText" dxfId="60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6</xdr:col>
                    <xdr:colOff>114300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171450</xdr:rowOff>
                  </from>
                  <to>
                    <xdr:col>6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6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9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92D05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3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1" style="24" customWidth="1"/>
  </cols>
  <sheetData>
    <row r="1" spans="1:21" x14ac:dyDescent="0.25">
      <c r="A1" s="26" t="s">
        <v>43</v>
      </c>
      <c r="B1" s="146" t="s">
        <v>174</v>
      </c>
      <c r="C1" s="146"/>
      <c r="D1" s="146"/>
      <c r="E1" s="146"/>
      <c r="F1" s="146"/>
      <c r="G1" s="146"/>
      <c r="H1" s="146"/>
      <c r="I1" s="146"/>
      <c r="O1" s="5" t="s">
        <v>1</v>
      </c>
      <c r="Q1" s="146" t="s">
        <v>6</v>
      </c>
      <c r="R1" s="146"/>
      <c r="S1" s="146"/>
      <c r="T1" s="146"/>
    </row>
    <row r="2" spans="1:21" ht="17.25" customHeight="1" x14ac:dyDescent="0.25">
      <c r="B2" s="147" t="s">
        <v>76</v>
      </c>
      <c r="C2" s="147"/>
      <c r="D2" s="147"/>
      <c r="E2" s="147"/>
      <c r="F2" s="147"/>
      <c r="G2" s="147"/>
      <c r="H2" s="147"/>
      <c r="I2" s="147"/>
      <c r="J2" s="147"/>
      <c r="K2" s="67"/>
      <c r="L2" s="67"/>
      <c r="M2" s="67"/>
      <c r="O2" s="222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74" t="s">
        <v>66</v>
      </c>
      <c r="R2" s="174"/>
      <c r="S2" s="174"/>
      <c r="T2" s="174"/>
      <c r="U2" s="65"/>
    </row>
    <row r="3" spans="1:21" ht="15" customHeight="1" x14ac:dyDescent="0.25">
      <c r="B3" s="147"/>
      <c r="C3" s="147"/>
      <c r="D3" s="147"/>
      <c r="E3" s="147"/>
      <c r="F3" s="147"/>
      <c r="G3" s="147"/>
      <c r="H3" s="147"/>
      <c r="I3" s="147"/>
      <c r="J3" s="147"/>
      <c r="K3" s="67"/>
      <c r="L3" s="67"/>
      <c r="M3" s="67"/>
      <c r="O3" s="222"/>
      <c r="Q3" s="174" t="str">
        <f>IF($U$4=TRUE,"Írásos kérelem","Írásos vizsgajelentkezési/felmentési kérelem")</f>
        <v>Írásos vizsgajelentkezési/felmentési kérelem</v>
      </c>
      <c r="R3" s="174"/>
      <c r="S3" s="174"/>
      <c r="T3" s="174"/>
      <c r="U3" s="64" t="b">
        <v>0</v>
      </c>
    </row>
    <row r="4" spans="1:21" x14ac:dyDescent="0.25">
      <c r="B4" s="147"/>
      <c r="C4" s="147"/>
      <c r="D4" s="147"/>
      <c r="E4" s="147"/>
      <c r="F4" s="147"/>
      <c r="G4" s="147"/>
      <c r="H4" s="147"/>
      <c r="I4" s="147"/>
      <c r="J4" s="147"/>
      <c r="K4" s="67"/>
      <c r="L4" s="67"/>
      <c r="M4" s="67"/>
      <c r="O4" s="222"/>
      <c r="Q4" s="177" t="s">
        <v>110</v>
      </c>
      <c r="R4" s="177"/>
      <c r="S4" s="177"/>
      <c r="T4" s="177"/>
      <c r="U4" s="64" t="b">
        <v>0</v>
      </c>
    </row>
    <row r="5" spans="1:21" ht="15" customHeight="1" x14ac:dyDescent="0.25">
      <c r="B5" s="147"/>
      <c r="C5" s="147"/>
      <c r="D5" s="147"/>
      <c r="E5" s="147"/>
      <c r="F5" s="147"/>
      <c r="G5" s="147"/>
      <c r="H5" s="147"/>
      <c r="I5" s="147"/>
      <c r="J5" s="147"/>
      <c r="K5" s="67"/>
      <c r="L5" s="67"/>
      <c r="M5" s="67"/>
      <c r="O5" s="222"/>
      <c r="Q5" s="174" t="s">
        <v>65</v>
      </c>
      <c r="R5" s="174"/>
      <c r="S5" s="174"/>
      <c r="T5" s="174"/>
      <c r="U5" s="64" t="b">
        <v>0</v>
      </c>
    </row>
    <row r="6" spans="1:21" x14ac:dyDescent="0.25">
      <c r="B6" s="147"/>
      <c r="C6" s="147"/>
      <c r="D6" s="147"/>
      <c r="E6" s="147"/>
      <c r="F6" s="147"/>
      <c r="G6" s="147"/>
      <c r="H6" s="147"/>
      <c r="I6" s="147"/>
      <c r="J6" s="147"/>
      <c r="K6" s="67"/>
      <c r="L6" s="67"/>
      <c r="M6" s="67"/>
      <c r="O6" s="222"/>
      <c r="Q6" s="174"/>
      <c r="R6" s="174"/>
      <c r="S6" s="174"/>
      <c r="T6" s="174"/>
      <c r="U6" s="64" t="b">
        <v>0</v>
      </c>
    </row>
    <row r="7" spans="1:21" x14ac:dyDescent="0.25">
      <c r="B7" s="147"/>
      <c r="C7" s="147"/>
      <c r="D7" s="147"/>
      <c r="E7" s="147"/>
      <c r="F7" s="147"/>
      <c r="G7" s="147"/>
      <c r="H7" s="147"/>
      <c r="I7" s="147"/>
      <c r="J7" s="147"/>
      <c r="K7" s="67"/>
      <c r="L7" s="67"/>
      <c r="M7" s="67"/>
      <c r="N7" s="9"/>
      <c r="O7" s="222"/>
      <c r="Q7" s="174"/>
      <c r="R7" s="174"/>
      <c r="S7" s="174"/>
      <c r="T7" s="174"/>
      <c r="U7" s="64"/>
    </row>
    <row r="8" spans="1:21" ht="32.25" customHeight="1" x14ac:dyDescent="0.25">
      <c r="B8" s="147"/>
      <c r="C8" s="147"/>
      <c r="D8" s="147"/>
      <c r="E8" s="147"/>
      <c r="F8" s="147"/>
      <c r="G8" s="147"/>
      <c r="H8" s="147"/>
      <c r="I8" s="147"/>
      <c r="J8" s="147"/>
      <c r="K8" s="67"/>
      <c r="L8" s="67"/>
      <c r="M8" s="67"/>
      <c r="O8" s="222"/>
      <c r="Q8" s="174" t="str">
        <f>IF(U4=TRUE,"Érvényes tengerész géptiszti vagy belvízi gépkezelői vagy belvízi géptiszti képesítő bizonyítvány bemutatása",IF(U6=TRUE,"Gépkezelői képesítő bizonyítvány bemutatása",""))</f>
        <v/>
      </c>
      <c r="R8" s="174"/>
      <c r="S8" s="174"/>
      <c r="T8" s="174"/>
      <c r="U8" s="64"/>
    </row>
    <row r="9" spans="1:21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O9" s="68"/>
      <c r="Q9" s="167" t="str">
        <f>IF(U3=TRUE,"Hajózási vagy gépészeti szakképzésben szerzett képesítő bizonyítvány vagy szervezett gépkezelői képzés elvégzésének igazolása","")</f>
        <v/>
      </c>
      <c r="R9" s="168"/>
      <c r="S9" s="168"/>
      <c r="T9" s="169"/>
      <c r="U9" s="64"/>
    </row>
    <row r="10" spans="1:21" ht="21" customHeight="1" x14ac:dyDescent="0.25">
      <c r="Q10" s="181" t="str">
        <f>IF(OR(U3,U5)=TRUE,"Felmentési kérelemhez: képesítő okmány, vizsgajegyzőkönyv, leckekönyv vagy tanterv","")</f>
        <v/>
      </c>
      <c r="R10" s="182"/>
      <c r="S10" s="182"/>
      <c r="T10" s="183"/>
      <c r="U10" s="65"/>
    </row>
    <row r="11" spans="1:21" ht="27.75" customHeight="1" x14ac:dyDescent="0.25">
      <c r="B11" s="226" t="s">
        <v>13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"/>
      <c r="O11" s="36" t="s">
        <v>223</v>
      </c>
      <c r="Q11" s="186"/>
      <c r="R11" s="187"/>
      <c r="S11" s="187"/>
      <c r="T11" s="188"/>
      <c r="U11" s="65"/>
    </row>
    <row r="12" spans="1:21" s="2" customFormat="1" ht="145.5" customHeight="1" x14ac:dyDescent="0.25">
      <c r="B12" s="3" t="s">
        <v>74</v>
      </c>
      <c r="C12" s="3" t="s">
        <v>67</v>
      </c>
      <c r="D12" s="3" t="s">
        <v>68</v>
      </c>
      <c r="E12" s="3" t="s">
        <v>75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81</v>
      </c>
      <c r="L12" s="3" t="s">
        <v>82</v>
      </c>
      <c r="M12" s="3" t="s">
        <v>83</v>
      </c>
      <c r="N12" s="3" t="s">
        <v>224</v>
      </c>
      <c r="O12" s="10">
        <f>SUM(B14:N14)</f>
        <v>217500</v>
      </c>
      <c r="P12"/>
      <c r="Q12" s="217" t="s">
        <v>175</v>
      </c>
      <c r="R12" s="217"/>
      <c r="S12" s="217"/>
      <c r="T12" s="217"/>
      <c r="U12" s="27"/>
    </row>
    <row r="13" spans="1:21" s="17" customFormat="1" ht="30" customHeight="1" x14ac:dyDescent="0.25">
      <c r="B13" s="87" t="str">
        <f>IF(B14=0,"felmentés",IF(OR($U$3,$U$5)=TRUE,"Vizsga/felmentés","Vizsga"))</f>
        <v>Vizsga</v>
      </c>
      <c r="C13" s="87" t="str">
        <f t="shared" ref="C13:M13" si="0">IF(C14=0,"felmentés",IF(OR($U$3,$U$5)=TRUE,"Vizsga/felmentés","Vizsga"))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87" t="str">
        <f t="shared" si="0"/>
        <v>Vizsga</v>
      </c>
      <c r="H13" s="87" t="str">
        <f t="shared" si="0"/>
        <v>Vizsga</v>
      </c>
      <c r="I13" s="87" t="str">
        <f t="shared" si="0"/>
        <v>Vizsga</v>
      </c>
      <c r="J13" s="87" t="str">
        <f t="shared" si="0"/>
        <v>Vizsga</v>
      </c>
      <c r="K13" s="87" t="str">
        <f t="shared" si="0"/>
        <v>Vizsga</v>
      </c>
      <c r="L13" s="87" t="str">
        <f t="shared" si="0"/>
        <v>Vizsga</v>
      </c>
      <c r="M13" s="87" t="str">
        <f t="shared" si="0"/>
        <v>Vizsga</v>
      </c>
      <c r="N13" s="99" t="s">
        <v>85</v>
      </c>
      <c r="Q13" s="218"/>
      <c r="R13" s="218"/>
      <c r="S13" s="218"/>
      <c r="T13" s="218"/>
      <c r="U13" s="60"/>
    </row>
    <row r="14" spans="1:21" s="1" customFormat="1" ht="15" customHeight="1" x14ac:dyDescent="0.25">
      <c r="B14" s="4">
        <f>IF(OR($U$6,$U$4)=TRUE,0,KEZDŐLAP!F26)</f>
        <v>17400</v>
      </c>
      <c r="C14" s="4">
        <f>IF(OR($U$6,$U$4)=TRUE,0,KEZDŐLAP!F26)</f>
        <v>17400</v>
      </c>
      <c r="D14" s="4">
        <f>IF(OR($U$6,$U$4)=TRUE,0,KEZDŐLAP!F26)</f>
        <v>17400</v>
      </c>
      <c r="E14" s="4">
        <f>IF(OR($U$6,$U$4)=TRUE,0,KEZDŐLAP!F26)</f>
        <v>17400</v>
      </c>
      <c r="F14" s="4">
        <f>IF(OR($U$6,$U$4)=TRUE,0,KEZDŐLAP!F26)</f>
        <v>17400</v>
      </c>
      <c r="G14" s="4">
        <f>IF(OR($U$6,$U$4)=TRUE,0,KEZDŐLAP!F27)</f>
        <v>17400</v>
      </c>
      <c r="H14" s="4">
        <f>IF(OR($U$6,$U$4)=TRUE,0,KEZDŐLAP!F26)</f>
        <v>17400</v>
      </c>
      <c r="I14" s="4">
        <f>IF(OR($U$6,$U$4)=TRUE,0,KEZDŐLAP!F26)</f>
        <v>17400</v>
      </c>
      <c r="J14" s="4">
        <f>IF(OR($U$6,$U$4)=TRUE,0,KEZDŐLAP!F26)</f>
        <v>17400</v>
      </c>
      <c r="K14" s="4">
        <f>IF($U$4=TRUE,0,KEZDŐLAP!F27)</f>
        <v>17400</v>
      </c>
      <c r="L14" s="4">
        <f>IF($U$4=TRUE,0,KEZDŐLAP!F26)</f>
        <v>17400</v>
      </c>
      <c r="M14" s="4">
        <f>IF($U$4=TRUE,0,KEZDŐLAP!F26)</f>
        <v>17400</v>
      </c>
      <c r="N14" s="41">
        <f>KEZDŐLAP!F32</f>
        <v>8700</v>
      </c>
      <c r="P14" s="2"/>
      <c r="Q14" s="218"/>
      <c r="R14" s="218"/>
      <c r="S14" s="218"/>
      <c r="T14" s="218"/>
      <c r="U14" s="28"/>
    </row>
    <row r="15" spans="1:21" x14ac:dyDescent="0.25">
      <c r="G15" s="191" t="s">
        <v>106</v>
      </c>
      <c r="H15" s="198"/>
      <c r="I15" s="192"/>
      <c r="J15" s="223">
        <f>SUM(B14:M14)</f>
        <v>208800</v>
      </c>
      <c r="K15" s="224"/>
      <c r="L15" s="224"/>
      <c r="M15" s="224"/>
      <c r="N15" s="225"/>
      <c r="Q15" s="218"/>
      <c r="R15" s="218"/>
      <c r="S15" s="218"/>
      <c r="T15" s="218"/>
    </row>
    <row r="16" spans="1:21" x14ac:dyDescent="0.25">
      <c r="Q16" s="218"/>
      <c r="R16" s="218"/>
      <c r="S16" s="218"/>
      <c r="T16" s="218"/>
    </row>
    <row r="19" ht="116.25" customHeight="1" x14ac:dyDescent="0.25"/>
    <row r="20" ht="24.75" customHeight="1" x14ac:dyDescent="0.25"/>
  </sheetData>
  <sheetProtection sheet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Q9:T9"/>
    <mergeCell ref="Q10:T11"/>
    <mergeCell ref="G15:I15"/>
    <mergeCell ref="J15:N15"/>
    <mergeCell ref="B11:M11"/>
    <mergeCell ref="Q12:T16"/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</mergeCells>
  <conditionalFormatting sqref="B13:M13">
    <cfRule type="containsText" dxfId="59" priority="7" operator="containsText" text="Vizsga">
      <formula>NOT(ISERROR(SEARCH("Vizsga",B13)))</formula>
    </cfRule>
    <cfRule type="containsText" dxfId="58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7</xdr:col>
                    <xdr:colOff>819150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7</xdr:col>
                    <xdr:colOff>828675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7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46" t="s">
        <v>141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143</v>
      </c>
      <c r="N1" s="146"/>
      <c r="O1" s="146"/>
      <c r="P1" s="146"/>
    </row>
    <row r="2" spans="1:17" ht="17.25" customHeight="1" x14ac:dyDescent="0.25">
      <c r="B2" s="195"/>
      <c r="C2" s="195"/>
      <c r="D2" s="195"/>
      <c r="E2" s="195"/>
      <c r="F2" s="195"/>
      <c r="G2" s="195"/>
      <c r="H2" s="195"/>
      <c r="I2" s="195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7" t="s">
        <v>147</v>
      </c>
      <c r="M3" s="174"/>
      <c r="N3" s="174"/>
      <c r="O3" s="174"/>
      <c r="P3" s="174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7"/>
      <c r="M4" s="177" t="str">
        <f>IF(Q4=TRUE,"Képesítés bejegyzési kérelem","HSZK kiállítására vonatkozó kérelem")</f>
        <v>HSZK kiállítására vonatkozó kérelem</v>
      </c>
      <c r="N4" s="177"/>
      <c r="O4" s="177"/>
      <c r="P4" s="17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7"/>
      <c r="M5" s="177" t="s">
        <v>129</v>
      </c>
      <c r="N5" s="177"/>
      <c r="O5" s="177"/>
      <c r="P5" s="17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7"/>
      <c r="M6" s="174" t="s">
        <v>131</v>
      </c>
      <c r="N6" s="174"/>
      <c r="O6" s="174"/>
      <c r="P6" s="174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7"/>
      <c r="M7" s="174"/>
      <c r="N7" s="174"/>
      <c r="O7" s="174"/>
      <c r="P7" s="174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7"/>
      <c r="M8" s="174" t="s">
        <v>144</v>
      </c>
      <c r="N8" s="174"/>
      <c r="O8" s="174"/>
      <c r="P8" s="174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8"/>
      <c r="M9" s="174"/>
      <c r="N9" s="174"/>
      <c r="O9" s="174"/>
      <c r="P9" s="174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8"/>
      <c r="M12" s="177" t="s">
        <v>142</v>
      </c>
      <c r="N12" s="177"/>
      <c r="O12" s="177"/>
      <c r="P12" s="17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8"/>
      <c r="M13" s="174" t="s">
        <v>110</v>
      </c>
      <c r="N13" s="174"/>
      <c r="O13" s="174"/>
      <c r="P13" s="174"/>
      <c r="Q13" s="64"/>
    </row>
    <row r="14" spans="1:17" ht="8.25" customHeight="1" x14ac:dyDescent="0.25">
      <c r="K14" s="71"/>
      <c r="M14" s="195"/>
      <c r="N14" s="195"/>
      <c r="O14" s="195"/>
      <c r="P14" s="195"/>
    </row>
    <row r="15" spans="1:17" x14ac:dyDescent="0.25">
      <c r="K15" s="1" t="s">
        <v>119</v>
      </c>
      <c r="M15" s="195"/>
      <c r="N15" s="195"/>
      <c r="O15" s="195"/>
      <c r="P15" s="195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26100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17400</v>
      </c>
      <c r="I17" s="73">
        <f>KEZDŐLAP!F32</f>
        <v>8700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7" priority="1" operator="containsText" text="Vizsga">
      <formula>NOT(ISERROR(SEARCH("Vizsga",E17)))</formula>
    </cfRule>
    <cfRule type="containsText" dxfId="56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/>
  </sheetViews>
  <sheetFormatPr defaultRowHeight="15" x14ac:dyDescent="0.25"/>
  <cols>
    <col min="1" max="1" width="3.42578125" customWidth="1"/>
    <col min="2" max="6" width="17.5703125" customWidth="1"/>
    <col min="7" max="8" width="14.5703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51" customWidth="1"/>
  </cols>
  <sheetData>
    <row r="1" spans="1:16" x14ac:dyDescent="0.25">
      <c r="A1" s="26" t="s">
        <v>43</v>
      </c>
      <c r="B1" s="146" t="s">
        <v>102</v>
      </c>
      <c r="C1" s="146"/>
      <c r="D1" s="146"/>
      <c r="E1" s="146"/>
      <c r="F1" s="146"/>
      <c r="G1" s="146"/>
      <c r="H1" s="146"/>
      <c r="J1" s="5" t="s">
        <v>1</v>
      </c>
      <c r="L1" s="146" t="str">
        <f>IF(L3="Írásos vizsgajelentkezési kérelem az eHivatal rendszeren keresztül","Egyéb vizsgajelentkezési feltételek","Okmánykiállítási feltételek")</f>
        <v>Egyéb vizsgajelentkezési feltételek</v>
      </c>
      <c r="M1" s="146"/>
      <c r="N1" s="146"/>
      <c r="O1" s="146"/>
    </row>
    <row r="2" spans="1:16" ht="15.75" customHeight="1" x14ac:dyDescent="0.25">
      <c r="B2" s="147" t="s">
        <v>100</v>
      </c>
      <c r="C2" s="147"/>
      <c r="D2" s="147"/>
      <c r="E2" s="147"/>
      <c r="F2" s="147"/>
      <c r="G2" s="147"/>
      <c r="H2" s="147"/>
      <c r="J2" s="1"/>
      <c r="P2" s="52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48" t="s">
        <v>94</v>
      </c>
      <c r="L3" s="149" t="str">
        <f>IF(AND(G22&gt;0,I21&gt;0),"Írásos vizsgajelentkezési kérelem az eHivatal rendszeren keresztül",IF(I21&gt;0,"Okmányigénylés és fotó benyújtása",""))</f>
        <v>Írásos vizsgajelentkezési kérelem az eHivatal rendszeren keresztül</v>
      </c>
      <c r="M3" s="149"/>
      <c r="N3" s="149"/>
      <c r="O3" s="149"/>
      <c r="P3" s="52" t="b">
        <v>1</v>
      </c>
    </row>
    <row r="4" spans="1:16" x14ac:dyDescent="0.25">
      <c r="B4" s="8"/>
      <c r="C4" s="8"/>
      <c r="D4" s="8"/>
      <c r="E4" s="8"/>
      <c r="F4" s="8"/>
      <c r="G4" s="8"/>
      <c r="H4" s="8"/>
      <c r="J4" s="148"/>
      <c r="L4" s="150" t="str">
        <f>IF(OR(B21&gt;0,C21&gt;0,D21&gt;0,D21),"Elméleti vizsgához: betöltött 17. életév"," ")</f>
        <v>Elméleti vizsgához: betöltött 17. életév</v>
      </c>
      <c r="M4" s="150"/>
      <c r="N4" s="150"/>
      <c r="O4" s="150"/>
      <c r="P4" s="52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48"/>
      <c r="L5" s="151" t="str">
        <f>IF(OR(E21=18000,F21=18000),"Gyakorlati vizsgához: betöltött 18. életév"," ")</f>
        <v xml:space="preserve"> </v>
      </c>
      <c r="M5" s="152"/>
      <c r="N5" s="152"/>
      <c r="O5" s="153"/>
      <c r="P5" s="52"/>
    </row>
    <row r="6" spans="1:16" x14ac:dyDescent="0.25">
      <c r="B6" s="147" t="s">
        <v>101</v>
      </c>
      <c r="C6" s="147"/>
      <c r="D6" s="147"/>
      <c r="E6" s="147"/>
      <c r="F6" s="147"/>
      <c r="G6" s="147"/>
      <c r="H6" s="147"/>
      <c r="J6" s="148"/>
      <c r="L6" s="149" t="str">
        <f>IF(OR(P3,P4)=TRUE,"Érvényes, kedvtelési célú kishajó vezetésére szóló egészségi alkalmasság igazolása"," ")</f>
        <v>Érvényes, kedvtelési célú kishajó vezetésére szóló egészségi alkalmasság igazolása</v>
      </c>
      <c r="M6" s="149"/>
      <c r="N6" s="149"/>
      <c r="O6" s="149"/>
      <c r="P6" s="52"/>
    </row>
    <row r="7" spans="1:16" x14ac:dyDescent="0.25">
      <c r="B7" s="8"/>
      <c r="C7" s="8"/>
      <c r="D7" s="8"/>
      <c r="E7" s="8"/>
      <c r="F7" s="8"/>
      <c r="G7" s="8"/>
      <c r="H7" s="8"/>
      <c r="J7" s="148"/>
      <c r="L7" s="149"/>
      <c r="M7" s="149"/>
      <c r="N7" s="149"/>
      <c r="O7" s="149"/>
      <c r="P7" s="52" t="b">
        <v>1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48"/>
      <c r="L8" s="154" t="str">
        <f>IF(G22&gt;0,"A vizsgatárgyakat tartalmazó képzésen való részvétel igazolása"," ")</f>
        <v>A vizsgatárgyakat tartalmazó képzésen való részvétel igazolása</v>
      </c>
      <c r="M8" s="155"/>
      <c r="N8" s="155"/>
      <c r="O8" s="156"/>
      <c r="P8" s="52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48"/>
      <c r="L9" s="154"/>
      <c r="M9" s="155"/>
      <c r="N9" s="155"/>
      <c r="O9" s="156"/>
      <c r="P9" s="52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48"/>
      <c r="L10" s="150" t="str">
        <f>IF(OR(P3,P4)=TRUE,"Díj befizetésének igazolása"," ")</f>
        <v>Díj befizetésének igazolása</v>
      </c>
      <c r="M10" s="150"/>
      <c r="N10" s="150"/>
      <c r="O10" s="150"/>
      <c r="P10" s="52"/>
    </row>
    <row r="11" spans="1:16" x14ac:dyDescent="0.25">
      <c r="B11" s="8"/>
      <c r="C11" s="8"/>
      <c r="D11" s="8"/>
      <c r="E11" s="8"/>
      <c r="F11" s="8"/>
      <c r="G11" s="8"/>
      <c r="H11" s="8"/>
      <c r="J11" s="148"/>
      <c r="L11" s="150" t="str">
        <f>IF(OR(OR(P3,P4)=FALSE,OR(P7,P8,P9,P11,P12:P14)=TRUE)," ","Nyilatkozat úszástudásról")</f>
        <v xml:space="preserve"> </v>
      </c>
      <c r="M11" s="150"/>
      <c r="N11" s="150"/>
      <c r="O11" s="150"/>
      <c r="P11" s="52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48"/>
      <c r="L12" s="150" t="str">
        <f>IF(AND(OR(P3:P4)=TRUE,$P$10=TRUE,$J$19&gt;13000),"Képesítés, bizonyítvány vagy oklevél bemutatása","")</f>
        <v/>
      </c>
      <c r="M12" s="150"/>
      <c r="N12" s="150"/>
      <c r="O12" s="150"/>
      <c r="P12" s="52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54" t="str">
        <f>IF(OR(P3,P4)=TRUE,IF(OR(P7:P12)=TRUE,"","Legalább alapfokú iskolai végzettség igazolása")," ")</f>
        <v/>
      </c>
      <c r="M13" s="155"/>
      <c r="N13" s="155"/>
      <c r="O13" s="156"/>
      <c r="P13" s="52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61" t="str">
        <f>IF(OR(P15,P16)=TRUE,"Felmentési kérelemhez: képesítő okmány, vizsgajegyzőkönyv, leckekönyv vagy tanterv","")</f>
        <v/>
      </c>
      <c r="M14" s="162"/>
      <c r="N14" s="162"/>
      <c r="O14" s="163"/>
      <c r="P14" s="52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64"/>
      <c r="M15" s="165"/>
      <c r="N15" s="165"/>
      <c r="O15" s="166"/>
      <c r="P15" s="52" t="b">
        <v>0</v>
      </c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54"/>
      <c r="M16" s="155"/>
      <c r="N16" s="155"/>
      <c r="O16" s="156"/>
      <c r="P16" s="52" t="b">
        <v>0</v>
      </c>
    </row>
    <row r="17" spans="2:16" ht="15" customHeight="1" x14ac:dyDescent="0.25">
      <c r="L17" s="154"/>
      <c r="M17" s="155"/>
      <c r="N17" s="155"/>
      <c r="O17" s="156"/>
    </row>
    <row r="18" spans="2:16" ht="18" customHeight="1" x14ac:dyDescent="0.25">
      <c r="B18" s="157" t="s">
        <v>13</v>
      </c>
      <c r="C18" s="157"/>
      <c r="D18" s="157"/>
      <c r="E18" s="157"/>
      <c r="F18" s="157"/>
      <c r="I18" s="159" t="s">
        <v>89</v>
      </c>
      <c r="J18" s="160"/>
    </row>
    <row r="19" spans="2:16" s="17" customFormat="1" ht="126.75" customHeight="1" x14ac:dyDescent="0.25">
      <c r="B19" s="48" t="s">
        <v>95</v>
      </c>
      <c r="C19" s="48" t="s">
        <v>96</v>
      </c>
      <c r="D19" s="48" t="s">
        <v>97</v>
      </c>
      <c r="E19" s="48" t="s">
        <v>98</v>
      </c>
      <c r="F19" s="48" t="s">
        <v>99</v>
      </c>
      <c r="G19" s="49"/>
      <c r="H19" s="49"/>
      <c r="I19" s="48" t="s">
        <v>84</v>
      </c>
      <c r="J19" s="43">
        <f>SUM(B21:I21)</f>
        <v>55300</v>
      </c>
      <c r="K19" s="34"/>
      <c r="L19" s="158" t="str">
        <f>IF(P16=TRUE,"Hajózási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9" s="158"/>
      <c r="N19" s="158"/>
      <c r="O19" s="158"/>
      <c r="P19" s="53"/>
    </row>
    <row r="20" spans="2:16" s="2" customFormat="1" ht="15.75" customHeight="1" x14ac:dyDescent="0.25">
      <c r="B20" s="101" t="str">
        <f>IF(AND(P3=FALSE,P4=FALSE),"-",IF(OR(P7,P8,P9,P11,P12,P13,P14)=TRUE,"Felmentés",IF(OR(P15:P16)=TRUE,"Vizsga/felmentés","Vizsga")))</f>
        <v>Felmentés</v>
      </c>
      <c r="C20" s="101" t="str">
        <f>IF(P3=FALSE,"-",IF(OR(P8,P9,P11,P12,P13,P14)=TRUE,"Felmentés",IF(OR(P15:P16)=TRUE,"Vizsga/felmentés","Vizsga")))</f>
        <v>Vizsga</v>
      </c>
      <c r="D20" s="101" t="str">
        <f>IF(P4=FALSE,"-",IF(OR(P7,P8,P12,P13)=TRUE,"Felmentés",IF(OR(P15,P16)=TRUE,"Vizsga/felmentés","Vizsga")))</f>
        <v>-</v>
      </c>
      <c r="E20" s="101" t="str">
        <f>IF(P3=FALSE,"-",IF(OR(P9,P11,P13,P14)=TRUE,"Felmentés","Vizsga"))</f>
        <v>Vizsga</v>
      </c>
      <c r="F20" s="101" t="str">
        <f>IF(P4=FALSE,"-",IF(OR(P7,P8,P12,P13)=TRUE,"Felmentés","Vizsga"))</f>
        <v>-</v>
      </c>
      <c r="G20" s="36"/>
      <c r="H20" s="36"/>
      <c r="I20" s="42" t="s">
        <v>85</v>
      </c>
      <c r="P20" s="21"/>
    </row>
    <row r="21" spans="2:16" s="1" customFormat="1" x14ac:dyDescent="0.25">
      <c r="B21" s="4">
        <f>IF(AND(OR(P3,P4)=TRUE,P8=FALSE,P9=FALSE,P7=FALSE,P11=FALSE,P12=FALSE,P13=FALSE,P14=FALSE),KEZDŐLAP!F24,0)</f>
        <v>0</v>
      </c>
      <c r="C21" s="4">
        <f>IF(AND(P3=TRUE,P8=FALSE,P9=FALSE,P11=FALSE,P12=FALSE,P13=FALSE,P14=FALSE),KEZDŐLAP!F24,0)</f>
        <v>10900</v>
      </c>
      <c r="D21" s="4">
        <f>IF(AND(P4=TRUE,P8=FALSE,P7=FALSE,P12=FALSE,P13=FALSE),KEZDŐLAP!F24,0)</f>
        <v>0</v>
      </c>
      <c r="E21" s="50">
        <f>IF(AND(P3=TRUE,P9=FALSE,P11=FALSE,P13=FALSE,P14=FALSE),KEZDŐLAP!F29,0)</f>
        <v>28300</v>
      </c>
      <c r="F21" s="50">
        <f>IF(AND(P4=TRUE,P8=FALSE,P7=FALSE,P12=FALSE,P13=FALSE),KEZDŐLAP!F29,0)</f>
        <v>0</v>
      </c>
      <c r="G21" s="38"/>
      <c r="H21" s="38"/>
      <c r="I21" s="41">
        <f>IF(OR(P3=TRUE,P4=TRUE),KEZDŐLAP!F31,0)</f>
        <v>16100</v>
      </c>
      <c r="K21" s="2"/>
      <c r="L21" s="2"/>
      <c r="M21" s="2"/>
      <c r="N21" s="2"/>
      <c r="P21" s="54"/>
    </row>
    <row r="22" spans="2:16" x14ac:dyDescent="0.25">
      <c r="E22" s="157" t="s">
        <v>88</v>
      </c>
      <c r="F22" s="157"/>
      <c r="G22" s="45">
        <f>SUM(B21:F21)</f>
        <v>39200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A1" name="Tartomány1_3"/>
    <protectedRange password="EFFA" sqref="B2:H2" name="Tartomány1_4"/>
    <protectedRange password="EFFA" sqref="L13:O17" name="Tartomány1_5"/>
    <protectedRange password="EFFA" sqref="L19:O19" name="Tartomány1_6"/>
  </protectedRanges>
  <mergeCells count="22">
    <mergeCell ref="B18:F18"/>
    <mergeCell ref="E22:F22"/>
    <mergeCell ref="B6:H6"/>
    <mergeCell ref="L11:O11"/>
    <mergeCell ref="L12:O12"/>
    <mergeCell ref="L19:O19"/>
    <mergeCell ref="I18:J18"/>
    <mergeCell ref="L13:O13"/>
    <mergeCell ref="L16:O16"/>
    <mergeCell ref="L17:O17"/>
    <mergeCell ref="L14:O15"/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</mergeCells>
  <conditionalFormatting sqref="B20:H20">
    <cfRule type="containsText" dxfId="83" priority="1" operator="containsText" text="Vizsga">
      <formula>NOT(ISERROR(SEARCH("Vizsga",B20)))</formula>
    </cfRule>
    <cfRule type="containsText" dxfId="82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304800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5</xdr:col>
                    <xdr:colOff>342900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5</xdr:col>
                    <xdr:colOff>342900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4</xdr:col>
                    <xdr:colOff>742950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5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1114425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5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5</xdr:col>
                    <xdr:colOff>352425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5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3" name="Check Box 2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161925</xdr:rowOff>
                  </from>
                  <to>
                    <xdr:col>7</xdr:col>
                    <xdr:colOff>876300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4" name="Check Box 2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190500</xdr:rowOff>
                  </from>
                  <to>
                    <xdr:col>6</xdr:col>
                    <xdr:colOff>685800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46" t="s">
        <v>148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149</v>
      </c>
      <c r="N1" s="146"/>
      <c r="O1" s="146"/>
      <c r="P1" s="146"/>
    </row>
    <row r="2" spans="1:17" ht="17.25" customHeight="1" x14ac:dyDescent="0.25">
      <c r="B2" s="195"/>
      <c r="C2" s="195"/>
      <c r="D2" s="195"/>
      <c r="E2" s="195"/>
      <c r="F2" s="195"/>
      <c r="G2" s="195"/>
      <c r="H2" s="195"/>
      <c r="I2" s="195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7" t="s">
        <v>147</v>
      </c>
      <c r="M3" s="174"/>
      <c r="N3" s="174"/>
      <c r="O3" s="174"/>
      <c r="P3" s="174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7"/>
      <c r="M4" s="177" t="str">
        <f>IF(Q4=TRUE,"Képesítés bejegyzési kérelem","HSZK kiállítására vonatkozó kérelem")</f>
        <v>HSZK kiállítására vonatkozó kérelem</v>
      </c>
      <c r="N4" s="177"/>
      <c r="O4" s="177"/>
      <c r="P4" s="17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7"/>
      <c r="M5" s="177" t="s">
        <v>129</v>
      </c>
      <c r="N5" s="177"/>
      <c r="O5" s="177"/>
      <c r="P5" s="17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7"/>
      <c r="M6" s="174" t="s">
        <v>131</v>
      </c>
      <c r="N6" s="174"/>
      <c r="O6" s="174"/>
      <c r="P6" s="174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7"/>
      <c r="M7" s="174"/>
      <c r="N7" s="174"/>
      <c r="O7" s="174"/>
      <c r="P7" s="174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7"/>
      <c r="M8" s="174" t="s">
        <v>150</v>
      </c>
      <c r="N8" s="174"/>
      <c r="O8" s="174"/>
      <c r="P8" s="174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8"/>
      <c r="M9" s="174"/>
      <c r="N9" s="174"/>
      <c r="O9" s="174"/>
      <c r="P9" s="174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8"/>
      <c r="M12" s="177" t="s">
        <v>151</v>
      </c>
      <c r="N12" s="177"/>
      <c r="O12" s="177"/>
      <c r="P12" s="17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8"/>
      <c r="M13" s="174" t="s">
        <v>110</v>
      </c>
      <c r="N13" s="174"/>
      <c r="O13" s="174"/>
      <c r="P13" s="174"/>
      <c r="Q13" s="64"/>
    </row>
    <row r="14" spans="1:17" ht="8.25" customHeight="1" x14ac:dyDescent="0.25">
      <c r="K14" s="71"/>
      <c r="M14" s="195"/>
      <c r="N14" s="195"/>
      <c r="O14" s="195"/>
      <c r="P14" s="195"/>
    </row>
    <row r="15" spans="1:17" x14ac:dyDescent="0.25">
      <c r="K15" s="1" t="s">
        <v>119</v>
      </c>
      <c r="M15" s="195"/>
      <c r="N15" s="195"/>
      <c r="O15" s="195"/>
      <c r="P15" s="195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26100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17400</v>
      </c>
      <c r="I17" s="73">
        <f>KEZDŐLAP!F32</f>
        <v>8700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5" priority="1" operator="containsText" text="Vizsga">
      <formula>NOT(ISERROR(SEARCH("Vizsga",E17)))</formula>
    </cfRule>
    <cfRule type="containsText" dxfId="54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26" t="s">
        <v>43</v>
      </c>
      <c r="B1" s="146" t="s">
        <v>152</v>
      </c>
      <c r="C1" s="146"/>
      <c r="D1" s="146"/>
      <c r="E1" s="146"/>
      <c r="F1" s="146"/>
      <c r="G1" s="146"/>
      <c r="H1" s="146"/>
      <c r="I1" s="146"/>
      <c r="K1" s="146" t="s">
        <v>154</v>
      </c>
      <c r="L1" s="146"/>
      <c r="M1" s="146"/>
      <c r="N1" s="146"/>
      <c r="O1" s="146"/>
      <c r="P1" s="146"/>
    </row>
    <row r="2" spans="1:17" ht="6" customHeight="1" thickBot="1" x14ac:dyDescent="0.3">
      <c r="B2" s="195"/>
      <c r="C2" s="195"/>
      <c r="D2" s="195"/>
      <c r="E2" s="195"/>
      <c r="F2" s="195"/>
      <c r="G2" s="195"/>
      <c r="H2" s="195"/>
      <c r="I2" s="195"/>
      <c r="K2" s="1"/>
      <c r="Q2" s="24"/>
    </row>
    <row r="3" spans="1:17" ht="22.5" customHeight="1" x14ac:dyDescent="0.25">
      <c r="B3" s="175" t="s">
        <v>153</v>
      </c>
      <c r="C3" s="175"/>
      <c r="D3" s="175"/>
      <c r="E3" s="175"/>
      <c r="F3" s="175"/>
      <c r="G3" s="175"/>
      <c r="H3" s="175"/>
      <c r="I3" s="175"/>
      <c r="K3" s="259" t="s">
        <v>155</v>
      </c>
      <c r="L3" s="260"/>
      <c r="M3" s="260"/>
      <c r="N3" s="260"/>
      <c r="O3" s="260"/>
      <c r="P3" s="261"/>
      <c r="Q3" s="64"/>
    </row>
    <row r="4" spans="1:17" ht="22.5" customHeight="1" x14ac:dyDescent="0.25">
      <c r="B4" s="229"/>
      <c r="C4" s="229"/>
      <c r="D4" s="229"/>
      <c r="E4" s="229"/>
      <c r="F4" s="229"/>
      <c r="G4" s="229"/>
      <c r="H4" s="229"/>
      <c r="I4" s="229"/>
      <c r="K4" s="262" t="s">
        <v>300</v>
      </c>
      <c r="L4" s="177"/>
      <c r="M4" s="177"/>
      <c r="N4" s="177"/>
      <c r="O4" s="177"/>
      <c r="P4" s="263"/>
      <c r="Q4" s="64"/>
    </row>
    <row r="5" spans="1:17" ht="22.5" customHeight="1" x14ac:dyDescent="0.25">
      <c r="B5" s="8"/>
      <c r="C5" s="8"/>
      <c r="D5" s="8"/>
      <c r="E5" s="8"/>
      <c r="F5" s="8"/>
      <c r="G5" s="8"/>
      <c r="H5" s="8"/>
      <c r="I5" s="8"/>
      <c r="K5" s="262" t="s">
        <v>129</v>
      </c>
      <c r="L5" s="177"/>
      <c r="M5" s="177"/>
      <c r="N5" s="177"/>
      <c r="O5" s="177"/>
      <c r="P5" s="263"/>
      <c r="Q5" s="64" t="b">
        <v>1</v>
      </c>
    </row>
    <row r="6" spans="1:17" ht="22.5" customHeight="1" x14ac:dyDescent="0.25">
      <c r="B6" s="8"/>
      <c r="C6" s="8"/>
      <c r="D6" s="8"/>
      <c r="E6" s="8"/>
      <c r="F6" s="8"/>
      <c r="G6" s="8"/>
      <c r="H6" s="8"/>
      <c r="I6" s="8"/>
      <c r="K6" s="253" t="s">
        <v>131</v>
      </c>
      <c r="L6" s="174"/>
      <c r="M6" s="174"/>
      <c r="N6" s="174"/>
      <c r="O6" s="174"/>
      <c r="P6" s="254"/>
      <c r="Q6" s="64" t="b">
        <v>0</v>
      </c>
    </row>
    <row r="7" spans="1:17" ht="22.5" customHeight="1" x14ac:dyDescent="0.25">
      <c r="B7" s="8"/>
      <c r="C7" s="8"/>
      <c r="D7" s="8"/>
      <c r="E7" s="8"/>
      <c r="F7" s="8"/>
      <c r="G7" s="8"/>
      <c r="H7" s="8"/>
      <c r="I7" s="8"/>
      <c r="K7" s="253"/>
      <c r="L7" s="174"/>
      <c r="M7" s="174"/>
      <c r="N7" s="174"/>
      <c r="O7" s="174"/>
      <c r="P7" s="254"/>
      <c r="Q7" s="64" t="b">
        <v>0</v>
      </c>
    </row>
    <row r="8" spans="1:17" ht="22.5" customHeight="1" x14ac:dyDescent="0.25">
      <c r="B8" s="8"/>
      <c r="C8" s="8"/>
      <c r="D8" s="8"/>
      <c r="E8" s="8"/>
      <c r="F8" s="8"/>
      <c r="G8" s="8"/>
      <c r="H8" s="8"/>
      <c r="I8" s="8"/>
      <c r="K8" s="253" t="s">
        <v>110</v>
      </c>
      <c r="L8" s="174"/>
      <c r="M8" s="174"/>
      <c r="N8" s="174"/>
      <c r="O8" s="174"/>
      <c r="P8" s="254"/>
      <c r="Q8" s="64" t="b">
        <v>0</v>
      </c>
    </row>
    <row r="9" spans="1:17" ht="22.5" customHeight="1" thickBot="1" x14ac:dyDescent="0.3">
      <c r="B9" s="8"/>
      <c r="C9" s="8"/>
      <c r="D9" s="8"/>
      <c r="E9" s="8"/>
      <c r="F9" s="8"/>
      <c r="G9" s="8"/>
      <c r="H9" s="8"/>
      <c r="I9" s="8"/>
      <c r="K9" s="255" t="str">
        <f>IF(OR($Q$5,Q11)=TRUE,"","Betöltött 17. életév")</f>
        <v/>
      </c>
      <c r="L9" s="256"/>
      <c r="M9" s="256"/>
      <c r="N9" s="256"/>
      <c r="O9" s="256"/>
      <c r="P9" s="257"/>
      <c r="Q9" s="64"/>
    </row>
    <row r="10" spans="1:17" ht="22.5" customHeight="1" thickBot="1" x14ac:dyDescent="0.3">
      <c r="B10" s="8"/>
      <c r="C10" s="8"/>
      <c r="D10" s="8"/>
      <c r="E10" s="8"/>
      <c r="F10" s="8"/>
      <c r="G10" s="8"/>
      <c r="H10" s="8"/>
      <c r="I10" s="8"/>
      <c r="K10" s="231" t="str">
        <f>IF(OR(Q8,Q11)=TRUE,"","továbbá")</f>
        <v>továbbá</v>
      </c>
      <c r="L10" s="231"/>
      <c r="M10" s="231"/>
      <c r="N10" s="231"/>
      <c r="O10" s="231"/>
      <c r="P10" s="231"/>
      <c r="Q10" s="64" t="b">
        <v>0</v>
      </c>
    </row>
    <row r="11" spans="1:17" ht="22.5" customHeight="1" x14ac:dyDescent="0.25">
      <c r="B11" s="8"/>
      <c r="C11" s="8"/>
      <c r="D11" s="8"/>
      <c r="E11" s="8"/>
      <c r="F11" s="8"/>
      <c r="G11" s="8"/>
      <c r="H11" s="8"/>
      <c r="I11" s="8"/>
      <c r="K11" s="247" t="str">
        <f>IF(OR(Q11,Q8)=TRUE,"","Legalább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248"/>
      <c r="M11" s="78"/>
      <c r="N11" s="78"/>
      <c r="O11" s="248" t="str">
        <f>IF(OR(Q8,Q11)=TRUE,"",IF(OR(Q6,Q7,Q10)=TRUE,"Legalább kilenc hónap időtartamú jóváhagyott képzési program elvégzése, amely az üzemeltetési szintű feladatok tekintetében a kompetenciákra vonatkozóan az e mellékletben meghatározott követelményeken alapult",""))</f>
        <v/>
      </c>
      <c r="P11" s="249"/>
      <c r="Q11" s="64" t="b">
        <v>0</v>
      </c>
    </row>
    <row r="12" spans="1:17" ht="22.5" customHeight="1" x14ac:dyDescent="0.25">
      <c r="B12" s="8"/>
      <c r="C12" s="8"/>
      <c r="D12" s="8"/>
      <c r="E12" s="8"/>
      <c r="F12" s="8"/>
      <c r="G12" s="8"/>
      <c r="H12" s="8"/>
      <c r="I12" s="8"/>
      <c r="K12" s="235"/>
      <c r="L12" s="148"/>
      <c r="M12" s="71"/>
      <c r="N12" s="71"/>
      <c r="O12" s="148"/>
      <c r="P12" s="236"/>
      <c r="Q12" s="64" t="b">
        <v>0</v>
      </c>
    </row>
    <row r="13" spans="1:17" ht="22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235"/>
      <c r="L13" s="148"/>
      <c r="M13" s="148" t="str">
        <f>IF(OR(Q8,Q11)=TRUE,"",IF(OR(Q6,Q7,Q10)=TRUE,"vagy",""))</f>
        <v/>
      </c>
      <c r="N13" s="148"/>
      <c r="O13" s="148"/>
      <c r="P13" s="236"/>
      <c r="Q13" s="64" t="b">
        <v>0</v>
      </c>
    </row>
    <row r="14" spans="1:17" ht="22.5" customHeight="1" x14ac:dyDescent="0.25">
      <c r="B14" s="258" t="s">
        <v>222</v>
      </c>
      <c r="C14" s="258"/>
      <c r="D14" s="258"/>
      <c r="E14" s="258"/>
      <c r="F14" s="258"/>
      <c r="G14" s="258"/>
      <c r="H14" s="258"/>
      <c r="I14" s="258"/>
      <c r="J14" s="9"/>
      <c r="K14" s="235"/>
      <c r="L14" s="148"/>
      <c r="M14" s="71"/>
      <c r="N14" s="71"/>
      <c r="O14" s="148"/>
      <c r="P14" s="236"/>
      <c r="Q14" s="64" t="b">
        <v>0</v>
      </c>
    </row>
    <row r="15" spans="1:17" ht="22.5" customHeight="1" x14ac:dyDescent="0.25">
      <c r="B15" s="258"/>
      <c r="C15" s="258"/>
      <c r="D15" s="258"/>
      <c r="E15" s="258"/>
      <c r="F15" s="258"/>
      <c r="G15" s="258"/>
      <c r="H15" s="258"/>
      <c r="I15" s="258"/>
      <c r="J15" s="9"/>
      <c r="K15" s="235"/>
      <c r="L15" s="148"/>
      <c r="M15" s="71"/>
      <c r="N15" s="71"/>
      <c r="O15" s="148"/>
      <c r="P15" s="236"/>
      <c r="Q15" s="64"/>
    </row>
    <row r="16" spans="1:17" ht="22.5" customHeight="1" x14ac:dyDescent="0.25">
      <c r="B16" s="258"/>
      <c r="C16" s="258"/>
      <c r="D16" s="258"/>
      <c r="E16" s="258"/>
      <c r="F16" s="258"/>
      <c r="G16" s="258"/>
      <c r="H16" s="258"/>
      <c r="I16" s="258"/>
      <c r="J16" s="9"/>
      <c r="K16" s="235" t="str">
        <f>IF(OR(Q8,Q11)=TRUE,"","és")</f>
        <v>és</v>
      </c>
      <c r="L16" s="148"/>
      <c r="M16" s="148"/>
      <c r="N16" s="148"/>
      <c r="O16" s="148"/>
      <c r="P16" s="236"/>
      <c r="Q16" s="64"/>
    </row>
    <row r="17" spans="2:17" ht="32.25" customHeight="1" x14ac:dyDescent="0.25">
      <c r="B17" s="230" t="s">
        <v>227</v>
      </c>
      <c r="C17" s="230"/>
      <c r="D17" s="230"/>
      <c r="E17" s="230"/>
      <c r="F17" s="230"/>
      <c r="G17" s="230"/>
      <c r="H17" s="230"/>
      <c r="I17" s="230"/>
      <c r="J17" s="9"/>
      <c r="K17" s="235" t="str">
        <f>IF(OR(Q8,Q11)=TRUE,"","Az elvégzett képzési program részeként legalább 90 nap hajózási idő teljesítése")</f>
        <v>Az elvégzett képzési program részeként legalább 90 nap hajózási idő teljesítése</v>
      </c>
      <c r="L17" s="148"/>
      <c r="M17" s="148"/>
      <c r="N17" s="148"/>
      <c r="O17" s="148"/>
      <c r="P17" s="236"/>
      <c r="Q17" s="64"/>
    </row>
    <row r="18" spans="2:17" ht="18" customHeight="1" x14ac:dyDescent="0.25">
      <c r="B18" s="157" t="s">
        <v>193</v>
      </c>
      <c r="C18" s="157"/>
      <c r="D18" s="157"/>
      <c r="E18" s="157"/>
      <c r="G18" s="238" t="s">
        <v>146</v>
      </c>
      <c r="I18" s="238" t="s">
        <v>119</v>
      </c>
      <c r="J18" s="9"/>
      <c r="K18" s="235" t="str">
        <f>IF(OR(Q8,Q11)=TRUE,"","és")</f>
        <v>és</v>
      </c>
      <c r="L18" s="148"/>
      <c r="M18" s="148"/>
      <c r="N18" s="148"/>
      <c r="O18" s="148"/>
      <c r="P18" s="236"/>
      <c r="Q18" s="64"/>
    </row>
    <row r="19" spans="2:17" ht="33" customHeight="1" thickBot="1" x14ac:dyDescent="0.3">
      <c r="B19" s="237" t="s">
        <v>208</v>
      </c>
      <c r="C19" s="237" t="s">
        <v>210</v>
      </c>
      <c r="D19" s="237" t="s">
        <v>211</v>
      </c>
      <c r="E19" s="237" t="s">
        <v>212</v>
      </c>
      <c r="G19" s="238"/>
      <c r="I19" s="238"/>
      <c r="J19" s="9"/>
      <c r="K19" s="232" t="str">
        <f>IF(OR(Q8,Q11)=TRUE,"","A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33"/>
      <c r="M19" s="233"/>
      <c r="N19" s="233"/>
      <c r="O19" s="233"/>
      <c r="P19" s="234"/>
      <c r="Q19" s="64"/>
    </row>
    <row r="20" spans="2:17" ht="15.75" customHeight="1" thickBot="1" x14ac:dyDescent="0.3">
      <c r="B20" s="237"/>
      <c r="C20" s="237"/>
      <c r="D20" s="237"/>
      <c r="E20" s="237"/>
      <c r="G20" s="238"/>
      <c r="I20" s="238"/>
      <c r="J20" s="9"/>
      <c r="K20" s="231" t="str">
        <f>IF($Q$5=TRUE,"vagy","")</f>
        <v>vagy</v>
      </c>
      <c r="L20" s="231"/>
      <c r="M20" s="231"/>
      <c r="N20" s="231"/>
      <c r="O20" s="231"/>
      <c r="P20" s="231"/>
      <c r="Q20" s="64"/>
    </row>
    <row r="21" spans="2:17" ht="43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38"/>
      <c r="I21" s="238"/>
      <c r="K21" s="247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>Legalább 360 nap hajózási idő igazolása, 
vagy legalább 180 nap hajózási idő és legalább 250 olyan nap igazolása, amelynek során a kérelmező tengeri hajón, a fedélzeti személyzet tagjaként szerzett munkatapasztalatot</v>
      </c>
      <c r="L21" s="248"/>
      <c r="M21" s="248"/>
      <c r="N21" s="248"/>
      <c r="O21" s="248"/>
      <c r="P21" s="249"/>
      <c r="Q21" s="64"/>
    </row>
    <row r="22" spans="2:17" ht="19.5" customHeight="1" x14ac:dyDescent="0.25">
      <c r="B22" s="74">
        <f>IF(OR($Q$8,$Q$11)=TRUE,"",KEZDŐLAP!$F$26)</f>
        <v>17400</v>
      </c>
      <c r="C22" s="74">
        <f>IF(OR($Q$8,$Q$11)=TRUE,"",KEZDŐLAP!$F$26)</f>
        <v>17400</v>
      </c>
      <c r="D22" s="74">
        <f>IF(OR($Q$8,$Q$11)=TRUE,"",KEZDŐLAP!$F$26)</f>
        <v>17400</v>
      </c>
      <c r="E22" s="74">
        <f>IF(OR($Q$8,$Q$11)=TRUE,"",KEZDŐLAP!$F$26)</f>
        <v>17400</v>
      </c>
      <c r="G22" s="76">
        <f>KEZDŐLAP!F32</f>
        <v>8700</v>
      </c>
      <c r="I22" s="77">
        <f>SUM(B22:E22)+SUM(B29:I29)+G22</f>
        <v>304700</v>
      </c>
      <c r="K22" s="250" t="str">
        <f>IF($Q$5=TRUE,"és","")</f>
        <v>és</v>
      </c>
      <c r="L22" s="251"/>
      <c r="M22" s="251"/>
      <c r="N22" s="251"/>
      <c r="O22" s="251"/>
      <c r="P22" s="252"/>
      <c r="Q22" s="25"/>
    </row>
    <row r="23" spans="2:17" ht="19.5" customHeight="1" x14ac:dyDescent="0.25">
      <c r="K23" s="235" t="str">
        <f>IF($Q$5=TRUE,"A hajózási vizsgaközpont által lebonyolított képesítő vizsga sikeres letétele vagy a jóváhagyott képzési programmal rendelkező képzőszerv által lebonyolított képesítő vizsga sikeres letétele","")</f>
        <v>A hajózási vizsgaközpont által lebonyolított képesítő vizsga sikeres letétele vagy a jóváhagyott képzési programmal rendelkező képzőszerv által lebonyolított képesítő vizsga sikeres letétele</v>
      </c>
      <c r="L23" s="148"/>
      <c r="M23" s="148"/>
      <c r="N23" s="148"/>
      <c r="O23" s="148"/>
      <c r="P23" s="236"/>
    </row>
    <row r="24" spans="2:17" ht="19.5" customHeight="1" thickBot="1" x14ac:dyDescent="0.3">
      <c r="B24" s="226" t="s">
        <v>59</v>
      </c>
      <c r="C24" s="226"/>
      <c r="D24" s="226"/>
      <c r="E24" s="226"/>
      <c r="F24" s="226"/>
      <c r="G24" s="226"/>
      <c r="H24" s="226"/>
      <c r="I24" s="226"/>
      <c r="K24" s="232"/>
      <c r="L24" s="233"/>
      <c r="M24" s="233"/>
      <c r="N24" s="233"/>
      <c r="O24" s="233"/>
      <c r="P24" s="234"/>
    </row>
    <row r="25" spans="2:17" ht="15" customHeight="1" thickBot="1" x14ac:dyDescent="0.3">
      <c r="B25" s="237" t="s">
        <v>213</v>
      </c>
      <c r="C25" s="237" t="s">
        <v>214</v>
      </c>
      <c r="D25" s="237" t="s">
        <v>215</v>
      </c>
      <c r="E25" s="237" t="s">
        <v>216</v>
      </c>
      <c r="F25" s="237" t="s">
        <v>217</v>
      </c>
      <c r="G25" s="237" t="s">
        <v>218</v>
      </c>
      <c r="H25" s="237" t="s">
        <v>219</v>
      </c>
      <c r="I25" s="237" t="s">
        <v>220</v>
      </c>
      <c r="K25" s="231" t="str">
        <f>IF(AND(Q11=TRUE,Q8=FALSE),"a nem UNIÓs matróz képesítés birtokában vizsga nélkül az alábbiak figyelembevételével:","")</f>
        <v/>
      </c>
      <c r="L25" s="231"/>
      <c r="M25" s="231"/>
      <c r="N25" s="231"/>
      <c r="O25" s="231"/>
      <c r="P25" s="231"/>
    </row>
    <row r="26" spans="2:17" ht="22.5" customHeight="1" x14ac:dyDescent="0.25">
      <c r="B26" s="237"/>
      <c r="C26" s="237"/>
      <c r="D26" s="237"/>
      <c r="E26" s="237"/>
      <c r="F26" s="237"/>
      <c r="G26" s="237"/>
      <c r="H26" s="237"/>
      <c r="I26" s="237"/>
      <c r="J26" s="17"/>
      <c r="K26" s="244" t="str">
        <f>IF(AND($Q$11=TRUE,Q8=FALSE),"Az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245"/>
      <c r="M26" s="245"/>
      <c r="N26" s="245"/>
      <c r="O26" s="245"/>
      <c r="P26" s="246"/>
      <c r="Q26" s="17"/>
    </row>
    <row r="27" spans="2:17" ht="22.5" customHeight="1" x14ac:dyDescent="0.25">
      <c r="B27" s="237"/>
      <c r="C27" s="237"/>
      <c r="D27" s="237"/>
      <c r="E27" s="237"/>
      <c r="F27" s="237"/>
      <c r="G27" s="237"/>
      <c r="H27" s="237"/>
      <c r="I27" s="237"/>
      <c r="J27" s="17"/>
      <c r="K27" s="239"/>
      <c r="L27" s="170"/>
      <c r="M27" s="170"/>
      <c r="N27" s="170"/>
      <c r="O27" s="170"/>
      <c r="P27" s="240"/>
      <c r="Q27" s="17"/>
    </row>
    <row r="28" spans="2:17" ht="23.25" customHeight="1" x14ac:dyDescent="0.25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J28" s="17"/>
      <c r="K28" s="239"/>
      <c r="L28" s="170"/>
      <c r="M28" s="170"/>
      <c r="N28" s="170"/>
      <c r="O28" s="170"/>
      <c r="P28" s="240"/>
      <c r="Q28" s="17"/>
    </row>
    <row r="29" spans="2:17" ht="15.75" customHeight="1" x14ac:dyDescent="0.25">
      <c r="B29" s="74">
        <f>IF(OR($Q$8,$Q$11)=TRUE,"",KEZDŐLAP!$F$29)</f>
        <v>28300</v>
      </c>
      <c r="C29" s="74">
        <f>IF(OR($Q$8,$Q$11)=TRUE,"",KEZDŐLAP!$F$29)</f>
        <v>28300</v>
      </c>
      <c r="D29" s="74">
        <f>IF(OR($Q$8,$Q$11)=TRUE,"",KEZDŐLAP!$F$29)</f>
        <v>28300</v>
      </c>
      <c r="E29" s="74">
        <f>IF(OR($Q$8,$Q$11)=TRUE,"",KEZDŐLAP!$F$29)</f>
        <v>28300</v>
      </c>
      <c r="F29" s="74">
        <f>IF(OR($Q$8,$Q$11)=TRUE,"",KEZDŐLAP!$F$29)</f>
        <v>28300</v>
      </c>
      <c r="G29" s="74">
        <f>IF(OR($Q$8,$Q$11,Q12)=TRUE,"",KEZDŐLAP!$F$29)</f>
        <v>28300</v>
      </c>
      <c r="H29" s="74">
        <f>IF(OR($Q$8,$Q$11,Q13)=TRUE,"",KEZDŐLAP!$F$29)</f>
        <v>28300</v>
      </c>
      <c r="I29" s="74">
        <f>IF(OR($Q$8,$Q$11,Q14)=TRUE,"",KEZDŐLAP!$F$29)</f>
        <v>28300</v>
      </c>
      <c r="K29" s="239" t="str">
        <f>IF(AND($Q$11=TRUE,Q8=FALSE),"Az elfogadható kevesebb idő mértéke legfeljebb a speciális képzés időtartamának megfelelő lehet. A 2022. április 19. napja előtt megkezdett gyakorlatszerzésre fordított időt el kell fogadni.","")</f>
        <v/>
      </c>
      <c r="L29" s="170"/>
      <c r="M29" s="170"/>
      <c r="N29" s="170"/>
      <c r="O29" s="170"/>
      <c r="P29" s="240"/>
      <c r="Q29" s="17"/>
    </row>
    <row r="30" spans="2:17" ht="15.75" customHeight="1" x14ac:dyDescent="0.25">
      <c r="J30" s="17"/>
      <c r="K30" s="239"/>
      <c r="L30" s="170"/>
      <c r="M30" s="170"/>
      <c r="N30" s="170"/>
      <c r="O30" s="170"/>
      <c r="P30" s="240"/>
      <c r="Q30" s="17"/>
    </row>
    <row r="31" spans="2:17" ht="15.75" customHeight="1" thickBot="1" x14ac:dyDescent="0.3">
      <c r="J31" s="17"/>
      <c r="K31" s="241"/>
      <c r="L31" s="242"/>
      <c r="M31" s="242"/>
      <c r="N31" s="242"/>
      <c r="O31" s="242"/>
      <c r="P31" s="243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selectLockedCells="1"/>
  <protectedRanges>
    <protectedRange password="EFFA" sqref="M29:O29 J2:Q2 L11:L19 K6 K11 B23:I23 I22 M28:P28 K8:K9 Q3:Q22 K19 N3:P4 K3:K4 N1:P1 B1:L1 J30 N11:N12 K22:K23 L20:P20 N21:P24 L23:M24 L3:L9 M15:M18 N7:P10 K10:L10 N14:N19 M13 O11:P19 L25:P25 M32:O32 K29 K26:Q27 Q29:Q31 I20 A23:A25 J3:J24 B3:I17 J26 H18:H22 E18:E20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I18" name="Tartomány1_6"/>
    <protectedRange password="EFFA" sqref="B2:I2" name="Tartomány1_7"/>
    <protectedRange password="EFFA" sqref="G22" name="Tartomány1_5"/>
  </protectedRanges>
  <mergeCells count="44">
    <mergeCell ref="F25:F27"/>
    <mergeCell ref="G25:G27"/>
    <mergeCell ref="H25:H27"/>
    <mergeCell ref="I25:I27"/>
    <mergeCell ref="B24:I24"/>
    <mergeCell ref="B25:B27"/>
    <mergeCell ref="C25:C27"/>
    <mergeCell ref="D25:D27"/>
    <mergeCell ref="E25:E27"/>
    <mergeCell ref="B3:I3"/>
    <mergeCell ref="B1:I1"/>
    <mergeCell ref="B2:I2"/>
    <mergeCell ref="O11:P15"/>
    <mergeCell ref="K11:L15"/>
    <mergeCell ref="K1:P1"/>
    <mergeCell ref="K8:P8"/>
    <mergeCell ref="K9:P9"/>
    <mergeCell ref="B14:I16"/>
    <mergeCell ref="K16:P16"/>
    <mergeCell ref="K3:P3"/>
    <mergeCell ref="K4:P4"/>
    <mergeCell ref="K5:P5"/>
    <mergeCell ref="K6:P7"/>
    <mergeCell ref="M13:N13"/>
    <mergeCell ref="K10:P10"/>
    <mergeCell ref="K29:P31"/>
    <mergeCell ref="K25:P25"/>
    <mergeCell ref="K26:P28"/>
    <mergeCell ref="K21:P21"/>
    <mergeCell ref="K22:P22"/>
    <mergeCell ref="K23:P24"/>
    <mergeCell ref="B4:I4"/>
    <mergeCell ref="B17:I17"/>
    <mergeCell ref="K20:P20"/>
    <mergeCell ref="K19:P19"/>
    <mergeCell ref="K18:P18"/>
    <mergeCell ref="K17:P17"/>
    <mergeCell ref="B19:B20"/>
    <mergeCell ref="C19:C20"/>
    <mergeCell ref="G18:G21"/>
    <mergeCell ref="D19:D20"/>
    <mergeCell ref="E19:E20"/>
    <mergeCell ref="B18:E18"/>
    <mergeCell ref="I18:I21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180975</xdr:rowOff>
                  </from>
                  <to>
                    <xdr:col>8</xdr:col>
                    <xdr:colOff>295275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8</xdr:col>
                    <xdr:colOff>571500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8</xdr:col>
                    <xdr:colOff>295275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76200</xdr:rowOff>
                  </from>
                  <to>
                    <xdr:col>8</xdr:col>
                    <xdr:colOff>847725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9" name="Check Box 9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209550</xdr:rowOff>
                  </from>
                  <to>
                    <xdr:col>8</xdr:col>
                    <xdr:colOff>695325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0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257175</xdr:rowOff>
                  </from>
                  <to>
                    <xdr:col>8</xdr:col>
                    <xdr:colOff>695325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1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12</xdr:row>
                    <xdr:rowOff>276225</xdr:rowOff>
                  </from>
                  <to>
                    <xdr:col>8</xdr:col>
                    <xdr:colOff>695325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2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123825</xdr:rowOff>
                  </from>
                  <to>
                    <xdr:col>8</xdr:col>
                    <xdr:colOff>847725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26" t="s">
        <v>43</v>
      </c>
      <c r="B1" s="146" t="s">
        <v>156</v>
      </c>
      <c r="C1" s="146"/>
      <c r="D1" s="146"/>
      <c r="E1" s="146"/>
      <c r="F1" s="146"/>
      <c r="G1" s="146"/>
      <c r="H1" s="146"/>
      <c r="I1" s="146"/>
      <c r="K1" s="146" t="s">
        <v>157</v>
      </c>
      <c r="L1" s="146"/>
      <c r="M1" s="146"/>
      <c r="N1" s="146"/>
      <c r="O1" s="146"/>
      <c r="P1" s="146"/>
    </row>
    <row r="2" spans="1:17" ht="6" customHeight="1" x14ac:dyDescent="0.25">
      <c r="B2" s="195"/>
      <c r="C2" s="195"/>
      <c r="D2" s="195"/>
      <c r="E2" s="195"/>
      <c r="F2" s="195"/>
      <c r="G2" s="195"/>
      <c r="H2" s="195"/>
      <c r="I2" s="195"/>
      <c r="K2" s="1"/>
      <c r="Q2" s="24"/>
    </row>
    <row r="3" spans="1:17" ht="17.25" customHeight="1" x14ac:dyDescent="0.25">
      <c r="B3" s="175" t="s">
        <v>153</v>
      </c>
      <c r="C3" s="175"/>
      <c r="D3" s="175"/>
      <c r="E3" s="175"/>
      <c r="F3" s="175"/>
      <c r="G3" s="175"/>
      <c r="H3" s="175"/>
      <c r="I3" s="175"/>
      <c r="K3" s="177" t="s">
        <v>155</v>
      </c>
      <c r="L3" s="177"/>
      <c r="M3" s="177"/>
      <c r="N3" s="177"/>
      <c r="O3" s="177"/>
      <c r="P3" s="17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77" t="s">
        <v>299</v>
      </c>
      <c r="L4" s="177"/>
      <c r="M4" s="177"/>
      <c r="N4" s="177"/>
      <c r="O4" s="177"/>
      <c r="P4" s="17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77" t="s">
        <v>129</v>
      </c>
      <c r="L5" s="177"/>
      <c r="M5" s="177"/>
      <c r="N5" s="177"/>
      <c r="O5" s="177"/>
      <c r="P5" s="17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4" t="s">
        <v>131</v>
      </c>
      <c r="L6" s="174"/>
      <c r="M6" s="174"/>
      <c r="N6" s="174"/>
      <c r="O6" s="174"/>
      <c r="P6" s="174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4"/>
      <c r="L7" s="174"/>
      <c r="M7" s="174"/>
      <c r="N7" s="174"/>
      <c r="O7" s="174"/>
      <c r="P7" s="174"/>
      <c r="Q7" s="64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4" t="s">
        <v>110</v>
      </c>
      <c r="L8" s="174"/>
      <c r="M8" s="174"/>
      <c r="N8" s="174"/>
      <c r="O8" s="174"/>
      <c r="P8" s="174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4"/>
      <c r="L9" s="174"/>
      <c r="M9" s="174"/>
      <c r="N9" s="174"/>
      <c r="O9" s="174"/>
      <c r="P9" s="174"/>
      <c r="Q9" s="64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65" t="str">
        <f>IF(OR(Q8,Q6)=TRUE,"","továbbá")</f>
        <v>továbbá</v>
      </c>
      <c r="L10" s="265"/>
      <c r="M10" s="265"/>
      <c r="N10" s="265"/>
      <c r="O10" s="265"/>
      <c r="P10" s="265"/>
      <c r="Q10" s="64"/>
    </row>
    <row r="11" spans="1:17" ht="15" customHeight="1" x14ac:dyDescent="0.25">
      <c r="B11" s="8"/>
      <c r="C11" s="8"/>
      <c r="D11" s="8"/>
      <c r="E11" s="8"/>
      <c r="F11" s="8"/>
      <c r="G11" s="8"/>
      <c r="H11" s="8"/>
      <c r="I11" s="8"/>
      <c r="K11" s="247" t="str">
        <f>IF(OR(Q8,Q6)=TRUE,"",IF(Q5=TRUE,"","Legalább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248"/>
      <c r="M11" s="248"/>
      <c r="N11" s="248"/>
      <c r="O11" s="248"/>
      <c r="P11" s="249"/>
      <c r="Q11" s="64"/>
    </row>
    <row r="12" spans="1:17" ht="15" customHeight="1" x14ac:dyDescent="0.25">
      <c r="B12" s="258" t="s">
        <v>222</v>
      </c>
      <c r="C12" s="258"/>
      <c r="D12" s="258"/>
      <c r="E12" s="258"/>
      <c r="F12" s="258"/>
      <c r="G12" s="258"/>
      <c r="H12" s="258"/>
      <c r="I12" s="258"/>
      <c r="K12" s="235"/>
      <c r="L12" s="148"/>
      <c r="M12" s="148"/>
      <c r="N12" s="148"/>
      <c r="O12" s="148"/>
      <c r="P12" s="236"/>
      <c r="Q12" s="64" t="b">
        <v>0</v>
      </c>
    </row>
    <row r="13" spans="1:17" ht="15" customHeight="1" x14ac:dyDescent="0.25">
      <c r="B13" s="258"/>
      <c r="C13" s="258"/>
      <c r="D13" s="258"/>
      <c r="E13" s="258"/>
      <c r="F13" s="258"/>
      <c r="G13" s="258"/>
      <c r="H13" s="258"/>
      <c r="I13" s="258"/>
      <c r="J13" s="9"/>
      <c r="K13" s="235"/>
      <c r="L13" s="148"/>
      <c r="M13" s="148"/>
      <c r="N13" s="148"/>
      <c r="O13" s="148"/>
      <c r="P13" s="236"/>
      <c r="Q13" s="64" t="b">
        <v>0</v>
      </c>
    </row>
    <row r="14" spans="1:17" ht="15" customHeight="1" x14ac:dyDescent="0.25">
      <c r="B14" s="258"/>
      <c r="C14" s="258"/>
      <c r="D14" s="258"/>
      <c r="E14" s="258"/>
      <c r="F14" s="258"/>
      <c r="G14" s="258"/>
      <c r="H14" s="258"/>
      <c r="I14" s="258"/>
      <c r="J14" s="9"/>
      <c r="K14" s="235"/>
      <c r="L14" s="148"/>
      <c r="M14" s="148"/>
      <c r="N14" s="148"/>
      <c r="O14" s="148"/>
      <c r="P14" s="236"/>
      <c r="Q14" s="64" t="b">
        <v>0</v>
      </c>
    </row>
    <row r="15" spans="1:17" ht="15" customHeight="1" x14ac:dyDescent="0.25">
      <c r="B15" s="258"/>
      <c r="C15" s="258"/>
      <c r="D15" s="258"/>
      <c r="E15" s="258"/>
      <c r="F15" s="258"/>
      <c r="G15" s="258"/>
      <c r="H15" s="258"/>
      <c r="I15" s="258"/>
      <c r="J15" s="9"/>
      <c r="K15" s="235"/>
      <c r="L15" s="148"/>
      <c r="M15" s="148"/>
      <c r="N15" s="148"/>
      <c r="O15" s="148"/>
      <c r="P15" s="236"/>
      <c r="Q15" s="64"/>
    </row>
    <row r="16" spans="1:17" ht="48" customHeight="1" x14ac:dyDescent="0.25">
      <c r="B16" s="230" t="s">
        <v>227</v>
      </c>
      <c r="C16" s="230"/>
      <c r="D16" s="230"/>
      <c r="E16" s="230"/>
      <c r="F16" s="230"/>
      <c r="G16" s="230"/>
      <c r="H16" s="230"/>
      <c r="I16" s="230"/>
      <c r="J16" s="9"/>
      <c r="K16" s="235" t="str">
        <f>IF(OR(Q8,Q6)=TRUE,"",IF($Q$5=TRUE,"Legalább 180 nap hajózási idő teljesítése matrózként töltött szolgálat végzéséhez szükséges képesítés birtokában","és"))</f>
        <v>és</v>
      </c>
      <c r="L16" s="148"/>
      <c r="M16" s="148"/>
      <c r="N16" s="148"/>
      <c r="O16" s="148"/>
      <c r="P16" s="236"/>
      <c r="Q16" s="64"/>
    </row>
    <row r="17" spans="2:17" ht="22.5" customHeight="1" x14ac:dyDescent="0.25">
      <c r="B17" s="157" t="s">
        <v>193</v>
      </c>
      <c r="C17" s="157"/>
      <c r="D17" s="157"/>
      <c r="E17" s="157"/>
      <c r="G17" s="238" t="s">
        <v>146</v>
      </c>
      <c r="I17" s="238" t="s">
        <v>119</v>
      </c>
      <c r="J17" s="9"/>
      <c r="K17" s="235" t="str">
        <f>IF(OR(Q8,Q6)=TRUE,"",IF(Q5=TRUE,"","Legalább 270 nap hajózási idő teljesítése"))</f>
        <v>Legalább 270 nap hajózási idő teljesítése</v>
      </c>
      <c r="L17" s="148"/>
      <c r="M17" s="148"/>
      <c r="N17" s="148"/>
      <c r="O17" s="148"/>
      <c r="P17" s="236"/>
      <c r="Q17" s="64"/>
    </row>
    <row r="18" spans="2:17" ht="33" customHeight="1" x14ac:dyDescent="0.25">
      <c r="B18" s="237" t="s">
        <v>208</v>
      </c>
      <c r="C18" s="237" t="s">
        <v>210</v>
      </c>
      <c r="D18" s="237" t="s">
        <v>211</v>
      </c>
      <c r="E18" s="237" t="s">
        <v>212</v>
      </c>
      <c r="G18" s="238"/>
      <c r="I18" s="238"/>
      <c r="J18" s="9"/>
      <c r="K18" s="235" t="str">
        <f>IF(OR(Q8,Q6)=TRUE,"",IF($Q$5=TRUE,"","és"))</f>
        <v>és</v>
      </c>
      <c r="L18" s="148"/>
      <c r="M18" s="148"/>
      <c r="N18" s="148"/>
      <c r="O18" s="148"/>
      <c r="P18" s="236"/>
      <c r="Q18" s="64"/>
    </row>
    <row r="19" spans="2:17" ht="44.25" customHeight="1" thickBot="1" x14ac:dyDescent="0.3">
      <c r="B19" s="237"/>
      <c r="C19" s="237"/>
      <c r="D19" s="237"/>
      <c r="E19" s="237"/>
      <c r="G19" s="238"/>
      <c r="I19" s="238"/>
      <c r="J19" s="9"/>
      <c r="K19" s="232" t="str">
        <f>IF(OR(Q8,Q6)=TRUE,"",IF(Q5=TRUE,"","A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33"/>
      <c r="M19" s="233"/>
      <c r="N19" s="233"/>
      <c r="O19" s="233"/>
      <c r="P19" s="234"/>
      <c r="Q19" s="64"/>
    </row>
    <row r="20" spans="2:17" ht="18" customHeight="1" thickBot="1" x14ac:dyDescent="0.3">
      <c r="B20" s="87" t="s">
        <v>209</v>
      </c>
      <c r="C20" s="87" t="s">
        <v>209</v>
      </c>
      <c r="D20" s="87" t="s">
        <v>209</v>
      </c>
      <c r="E20" s="87" t="s">
        <v>209</v>
      </c>
      <c r="G20" s="238"/>
      <c r="I20" s="238"/>
      <c r="J20" s="9"/>
      <c r="K20" s="264" t="str">
        <f>IF(Q8=TRUE,"",IF(AND(Q6=TRUE,Q5=FALSE),"a nem UNIÓs képesített matróz képesítés birtokában vizsga nélkül az alábbiak figyelembevételével:",""))</f>
        <v/>
      </c>
      <c r="L20" s="264"/>
      <c r="M20" s="264"/>
      <c r="N20" s="264"/>
      <c r="O20" s="264"/>
      <c r="P20" s="264"/>
      <c r="Q20" s="25"/>
    </row>
    <row r="21" spans="2:17" ht="15" customHeight="1" x14ac:dyDescent="0.25">
      <c r="B21" s="74">
        <f>IF(OR($Q$5,$Q$6,$Q$8)=TRUE,"",KEZDŐLAP!$F$26)</f>
        <v>17400</v>
      </c>
      <c r="C21" s="74">
        <f>IF(OR($Q$5,$Q$6,$Q$8)=TRUE,"",KEZDŐLAP!$F$26)</f>
        <v>17400</v>
      </c>
      <c r="D21" s="74">
        <f>IF(OR($Q$5,$Q$6,$Q$8)=TRUE,"",KEZDŐLAP!$F$26)</f>
        <v>17400</v>
      </c>
      <c r="E21" s="74">
        <f>IF(OR($Q$5,$Q$6,$Q$8)=TRUE,"",KEZDŐLAP!$F$26)</f>
        <v>17400</v>
      </c>
      <c r="G21" s="76">
        <f>KEZDŐLAP!F32</f>
        <v>8700</v>
      </c>
      <c r="I21" s="77">
        <f>SUM(B21:E21)+SUM(B28:I28)+G21</f>
        <v>304700</v>
      </c>
      <c r="K21" s="244" t="str">
        <f>IF(Q8=TRUE,"",IF(AND($Q$6=TRUE,Q5=FALSE),"Az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1" s="245"/>
      <c r="M21" s="245"/>
      <c r="N21" s="245"/>
      <c r="O21" s="245"/>
      <c r="P21" s="246"/>
      <c r="Q21" s="25"/>
    </row>
    <row r="22" spans="2:17" ht="15" customHeight="1" x14ac:dyDescent="0.25">
      <c r="K22" s="239"/>
      <c r="L22" s="170"/>
      <c r="M22" s="170"/>
      <c r="N22" s="170"/>
      <c r="O22" s="170"/>
      <c r="P22" s="240"/>
      <c r="Q22" s="25"/>
    </row>
    <row r="23" spans="2:17" ht="15" customHeight="1" x14ac:dyDescent="0.25">
      <c r="B23" s="226" t="s">
        <v>59</v>
      </c>
      <c r="C23" s="226"/>
      <c r="D23" s="226"/>
      <c r="E23" s="226"/>
      <c r="F23" s="226"/>
      <c r="G23" s="226"/>
      <c r="H23" s="226"/>
      <c r="I23" s="226"/>
      <c r="K23" s="239"/>
      <c r="L23" s="170"/>
      <c r="M23" s="170"/>
      <c r="N23" s="170"/>
      <c r="O23" s="170"/>
      <c r="P23" s="240"/>
    </row>
    <row r="24" spans="2:17" ht="15" customHeight="1" x14ac:dyDescent="0.25">
      <c r="B24" s="237" t="s">
        <v>213</v>
      </c>
      <c r="C24" s="237" t="s">
        <v>214</v>
      </c>
      <c r="D24" s="237" t="s">
        <v>215</v>
      </c>
      <c r="E24" s="237" t="s">
        <v>216</v>
      </c>
      <c r="F24" s="237" t="s">
        <v>217</v>
      </c>
      <c r="G24" s="237" t="s">
        <v>218</v>
      </c>
      <c r="H24" s="237" t="s">
        <v>219</v>
      </c>
      <c r="I24" s="237" t="s">
        <v>220</v>
      </c>
      <c r="K24" s="239" t="str">
        <f>IF(Q8=TRUE,"",IF(AND($Q$6=TRUE,Q5=FALSE),"Az elfogadható kevesebb idő mértéke legfeljebb a speciális képzés időtartamának megfelelő lehet. A 2022. április 19. napja előtt megkezdett gyakorlatszerzésre fordított időt el kell fogadni.",""))</f>
        <v/>
      </c>
      <c r="L24" s="170"/>
      <c r="M24" s="170"/>
      <c r="N24" s="170"/>
      <c r="O24" s="170"/>
      <c r="P24" s="240"/>
    </row>
    <row r="25" spans="2:17" ht="15" customHeight="1" thickBot="1" x14ac:dyDescent="0.3">
      <c r="B25" s="237"/>
      <c r="C25" s="237"/>
      <c r="D25" s="237"/>
      <c r="E25" s="237"/>
      <c r="F25" s="237"/>
      <c r="G25" s="237"/>
      <c r="H25" s="237"/>
      <c r="I25" s="237"/>
      <c r="K25" s="241"/>
      <c r="L25" s="242"/>
      <c r="M25" s="242"/>
      <c r="N25" s="242"/>
      <c r="O25" s="242"/>
      <c r="P25" s="243"/>
    </row>
    <row r="26" spans="2:17" s="2" customFormat="1" ht="45" customHeight="1" x14ac:dyDescent="0.25">
      <c r="B26" s="237"/>
      <c r="C26" s="237"/>
      <c r="D26" s="237"/>
      <c r="E26" s="237"/>
      <c r="F26" s="237"/>
      <c r="G26" s="237"/>
      <c r="H26" s="237"/>
      <c r="I26" s="237"/>
      <c r="K26"/>
      <c r="L26"/>
      <c r="M26"/>
      <c r="N26"/>
      <c r="O26"/>
      <c r="P26"/>
    </row>
    <row r="27" spans="2:17" s="2" customFormat="1" ht="15.75" customHeight="1" x14ac:dyDescent="0.25">
      <c r="B27" s="86" t="s">
        <v>221</v>
      </c>
      <c r="C27" s="86" t="s">
        <v>221</v>
      </c>
      <c r="D27" s="86" t="s">
        <v>221</v>
      </c>
      <c r="E27" s="86" t="s">
        <v>221</v>
      </c>
      <c r="F27" s="86" t="s">
        <v>221</v>
      </c>
      <c r="G27" s="86" t="s">
        <v>221</v>
      </c>
      <c r="H27" s="86" t="s">
        <v>221</v>
      </c>
      <c r="I27" s="86" t="s">
        <v>221</v>
      </c>
      <c r="K27" s="75"/>
      <c r="L27" s="75"/>
      <c r="M27" s="75"/>
      <c r="N27" s="75"/>
      <c r="O27" s="75"/>
      <c r="P27" s="75"/>
    </row>
    <row r="28" spans="2:17" s="1" customFormat="1" x14ac:dyDescent="0.25">
      <c r="B28" s="74">
        <f>IF(OR($Q$5,$Q$6,$Q$8)=TRUE,"",KEZDŐLAP!$F$29)</f>
        <v>28300</v>
      </c>
      <c r="C28" s="74">
        <f>IF(OR($Q$5,$Q$6,$Q$8)=TRUE,"",KEZDŐLAP!$F$29)</f>
        <v>28300</v>
      </c>
      <c r="D28" s="74">
        <f>IF(OR($Q$5,$Q$6,$Q$8)=TRUE,"",KEZDŐLAP!$F$29)</f>
        <v>28300</v>
      </c>
      <c r="E28" s="74">
        <f>IF(OR($Q$5,$Q$6,$Q$8)=TRUE,"",KEZDŐLAP!$F$29)</f>
        <v>28300</v>
      </c>
      <c r="F28" s="74">
        <f>IF(OR($Q$5,$Q$6,$Q$8)=TRUE,"",KEZDŐLAP!$F$29)</f>
        <v>28300</v>
      </c>
      <c r="G28" s="74">
        <f>IF(OR($Q$12,$Q$5,$Q$6,Q8)=TRUE,"",KEZDŐLAP!F29)</f>
        <v>28300</v>
      </c>
      <c r="H28" s="74">
        <f>IF(OR($Q$13,$Q$5,$Q$6,Q8)=TRUE,"",KEZDŐLAP!F29)</f>
        <v>28300</v>
      </c>
      <c r="I28" s="74">
        <f>IF(OR($Q$14,$Q$5,$Q$6,Q8)=TRUE,"",KEZDŐLAP!F29)</f>
        <v>28300</v>
      </c>
      <c r="J28" s="2"/>
      <c r="K28"/>
      <c r="L28"/>
      <c r="M28" s="195"/>
      <c r="N28" s="195"/>
      <c r="O28" s="195"/>
      <c r="P28" s="195"/>
    </row>
    <row r="29" spans="2:17" x14ac:dyDescent="0.25">
      <c r="K29" s="2"/>
      <c r="L29" s="2"/>
      <c r="M29" s="72"/>
      <c r="N29" s="72"/>
      <c r="O29" s="72"/>
      <c r="P29" s="72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72"/>
      <c r="N31" s="72"/>
      <c r="O31" s="72"/>
      <c r="P31" s="72"/>
    </row>
    <row r="32" spans="2:17" x14ac:dyDescent="0.25">
      <c r="K32" s="17"/>
      <c r="L32" s="17"/>
      <c r="M32" s="72"/>
      <c r="N32" s="72"/>
      <c r="O32" s="72"/>
      <c r="P32" s="72"/>
    </row>
    <row r="33" spans="12:16" x14ac:dyDescent="0.25">
      <c r="L33" s="17"/>
      <c r="M33" s="72"/>
      <c r="N33" s="72"/>
      <c r="O33" s="72"/>
      <c r="P33" s="72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selectLockedCells="1"/>
  <protectedRanges>
    <protectedRange password="EFFA" sqref="J2:Q2 A23:A28 J3:J21 L11:L15 K6 K11 M28:O28 J27:J28 K8:K9 Q3:Q22 K19 N3:P4 K3:K4 N1:P1 B1:L1 B3:I16 J22:K23 L20:P20 N21:P24 L23:M24 K27:L27 N27:P27 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K31:N31 K30:L30" name="Tartomány1_2_1"/>
    <protectedRange password="EFFA" sqref="B2:I2" name="Tartomány1_7"/>
    <protectedRange password="EFFA" sqref="M29:N29" name="Tartomány1_2_1_1"/>
    <protectedRange password="EFFA" sqref="B22:I22 I21 E17:E19 I19 H17:H21" name="Tartomány1_4"/>
    <protectedRange password="EFFA" sqref="I17" name="Tartomány1_6_1"/>
    <protectedRange password="EFFA" sqref="G21" name="Tartomány1_5"/>
  </protectedRanges>
  <mergeCells count="38">
    <mergeCell ref="B23:I23"/>
    <mergeCell ref="B24:B26"/>
    <mergeCell ref="C24:C26"/>
    <mergeCell ref="D24:D26"/>
    <mergeCell ref="E24:E26"/>
    <mergeCell ref="F24:F26"/>
    <mergeCell ref="G24:G26"/>
    <mergeCell ref="H24:H26"/>
    <mergeCell ref="I24:I26"/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0:P10"/>
    <mergeCell ref="M28:P28"/>
    <mergeCell ref="K11:P15"/>
    <mergeCell ref="K21:P23"/>
    <mergeCell ref="K24:P25"/>
    <mergeCell ref="K16:P16"/>
    <mergeCell ref="K17:P17"/>
    <mergeCell ref="B16:I16"/>
    <mergeCell ref="B12:I15"/>
    <mergeCell ref="K18:P18"/>
    <mergeCell ref="K19:P19"/>
    <mergeCell ref="K20:P20"/>
    <mergeCell ref="B17:E17"/>
    <mergeCell ref="G17:G20"/>
    <mergeCell ref="I17:I20"/>
    <mergeCell ref="B18:B19"/>
    <mergeCell ref="C18:C19"/>
    <mergeCell ref="D18:D19"/>
    <mergeCell ref="E18:E19"/>
  </mergeCells>
  <conditionalFormatting sqref="E20:G20">
    <cfRule type="containsText" dxfId="53" priority="1" operator="containsText" text="Vizsga">
      <formula>NOT(ISERROR(SEARCH("Vizsga",E20)))</formula>
    </cfRule>
    <cfRule type="containsText" dxfId="52" priority="2" operator="containsText" text="&quot;Vizsga&quot;">
      <formula>NOT(ISERROR(SEARCH("""Vizsga""",E20)))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161925</xdr:rowOff>
                  </from>
                  <to>
                    <xdr:col>8</xdr:col>
                    <xdr:colOff>704850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6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7</xdr:row>
                    <xdr:rowOff>161925</xdr:rowOff>
                  </from>
                  <to>
                    <xdr:col>8</xdr:col>
                    <xdr:colOff>695325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7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8</xdr:row>
                    <xdr:rowOff>209550</xdr:rowOff>
                  </from>
                  <to>
                    <xdr:col>8</xdr:col>
                    <xdr:colOff>695325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8" name="Check Box 12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19050</xdr:rowOff>
                  </from>
                  <to>
                    <xdr:col>8</xdr:col>
                    <xdr:colOff>695325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9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66675</xdr:rowOff>
                  </from>
                  <to>
                    <xdr:col>8</xdr:col>
                    <xdr:colOff>847725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topLeftCell="A9"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28515625" customWidth="1"/>
  </cols>
  <sheetData>
    <row r="1" spans="1:17" x14ac:dyDescent="0.25">
      <c r="A1" s="26" t="s">
        <v>43</v>
      </c>
      <c r="B1" s="146" t="s">
        <v>158</v>
      </c>
      <c r="C1" s="146"/>
      <c r="D1" s="146"/>
      <c r="E1" s="146"/>
      <c r="F1" s="146"/>
      <c r="G1" s="146"/>
      <c r="H1" s="146"/>
      <c r="I1" s="146"/>
      <c r="K1" s="146" t="s">
        <v>159</v>
      </c>
      <c r="L1" s="146"/>
      <c r="M1" s="146"/>
      <c r="N1" s="146"/>
      <c r="O1" s="146"/>
      <c r="P1" s="146"/>
    </row>
    <row r="2" spans="1:17" ht="6" customHeight="1" x14ac:dyDescent="0.25">
      <c r="B2" s="195"/>
      <c r="C2" s="195"/>
      <c r="D2" s="195"/>
      <c r="E2" s="195"/>
      <c r="F2" s="195"/>
      <c r="G2" s="195"/>
      <c r="H2" s="195"/>
      <c r="I2" s="195"/>
      <c r="K2" s="1"/>
      <c r="Q2" s="24"/>
    </row>
    <row r="3" spans="1:17" ht="17.25" customHeight="1" x14ac:dyDescent="0.25">
      <c r="B3" s="175" t="s">
        <v>153</v>
      </c>
      <c r="C3" s="175"/>
      <c r="D3" s="175"/>
      <c r="E3" s="175"/>
      <c r="F3" s="175"/>
      <c r="G3" s="175"/>
      <c r="H3" s="175"/>
      <c r="I3" s="175"/>
      <c r="K3" s="177" t="s">
        <v>155</v>
      </c>
      <c r="L3" s="177"/>
      <c r="M3" s="177"/>
      <c r="N3" s="177"/>
      <c r="O3" s="177"/>
      <c r="P3" s="17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77" t="s">
        <v>299</v>
      </c>
      <c r="L4" s="177"/>
      <c r="M4" s="177"/>
      <c r="N4" s="177"/>
      <c r="O4" s="177"/>
      <c r="P4" s="17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77" t="s">
        <v>129</v>
      </c>
      <c r="L5" s="177"/>
      <c r="M5" s="177"/>
      <c r="N5" s="177"/>
      <c r="O5" s="177"/>
      <c r="P5" s="17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4" t="s">
        <v>131</v>
      </c>
      <c r="L6" s="174"/>
      <c r="M6" s="174"/>
      <c r="N6" s="174"/>
      <c r="O6" s="174"/>
      <c r="P6" s="174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4"/>
      <c r="L7" s="174"/>
      <c r="M7" s="174"/>
      <c r="N7" s="174"/>
      <c r="O7" s="174"/>
      <c r="P7" s="174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4" t="s">
        <v>110</v>
      </c>
      <c r="L8" s="174"/>
      <c r="M8" s="174"/>
      <c r="N8" s="174"/>
      <c r="O8" s="174"/>
      <c r="P8" s="174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4"/>
      <c r="L9" s="174"/>
      <c r="M9" s="174"/>
      <c r="N9" s="174"/>
      <c r="O9" s="174"/>
      <c r="P9" s="174"/>
      <c r="Q9" s="64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74" t="s">
        <v>160</v>
      </c>
      <c r="L10" s="174"/>
      <c r="M10" s="174"/>
      <c r="N10" s="174"/>
      <c r="O10" s="174"/>
      <c r="P10" s="174"/>
      <c r="Q10" s="64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65" t="str">
        <f>IF(OR(Q8,Q7)=TRUE,"","továbbá")</f>
        <v>továbbá</v>
      </c>
      <c r="L11" s="265"/>
      <c r="M11" s="265"/>
      <c r="N11" s="265"/>
      <c r="O11" s="265"/>
      <c r="P11" s="265"/>
      <c r="Q11" s="64"/>
    </row>
    <row r="12" spans="1:17" ht="16.5" customHeight="1" x14ac:dyDescent="0.25">
      <c r="B12" s="8"/>
      <c r="C12" s="8"/>
      <c r="D12" s="8"/>
      <c r="E12" s="8"/>
      <c r="F12" s="8"/>
      <c r="G12" s="8"/>
      <c r="H12" s="8"/>
      <c r="I12" s="8"/>
      <c r="K12" s="247" t="str">
        <f>IF(OR(Q8,Q7)=TRUE,"",(IF(OR(Q5,Q6)=TRUE,"","Legalább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248"/>
      <c r="M12" s="248"/>
      <c r="N12" s="248"/>
      <c r="O12" s="248"/>
      <c r="P12" s="249"/>
      <c r="Q12" s="64" t="b">
        <v>0</v>
      </c>
    </row>
    <row r="13" spans="1:17" ht="16.5" customHeight="1" x14ac:dyDescent="0.25">
      <c r="B13" s="258" t="s">
        <v>222</v>
      </c>
      <c r="C13" s="258"/>
      <c r="D13" s="258"/>
      <c r="E13" s="258"/>
      <c r="F13" s="258"/>
      <c r="G13" s="258"/>
      <c r="H13" s="258"/>
      <c r="I13" s="258"/>
      <c r="K13" s="235"/>
      <c r="L13" s="148"/>
      <c r="M13" s="148"/>
      <c r="N13" s="148"/>
      <c r="O13" s="148"/>
      <c r="P13" s="236"/>
      <c r="Q13" s="64" t="b">
        <v>0</v>
      </c>
    </row>
    <row r="14" spans="1:17" ht="16.5" customHeight="1" x14ac:dyDescent="0.25">
      <c r="B14" s="258"/>
      <c r="C14" s="258"/>
      <c r="D14" s="258"/>
      <c r="E14" s="258"/>
      <c r="F14" s="258"/>
      <c r="G14" s="258"/>
      <c r="H14" s="258"/>
      <c r="I14" s="258"/>
      <c r="J14" s="9"/>
      <c r="K14" s="235"/>
      <c r="L14" s="148"/>
      <c r="M14" s="148"/>
      <c r="N14" s="148"/>
      <c r="O14" s="148"/>
      <c r="P14" s="236"/>
      <c r="Q14" s="64" t="b">
        <v>0</v>
      </c>
    </row>
    <row r="15" spans="1:17" ht="16.5" customHeight="1" x14ac:dyDescent="0.25">
      <c r="B15" s="258"/>
      <c r="C15" s="258"/>
      <c r="D15" s="258"/>
      <c r="E15" s="258"/>
      <c r="F15" s="258"/>
      <c r="G15" s="258"/>
      <c r="H15" s="258"/>
      <c r="I15" s="258"/>
      <c r="J15" s="9"/>
      <c r="K15" s="235"/>
      <c r="L15" s="148"/>
      <c r="M15" s="148"/>
      <c r="N15" s="148"/>
      <c r="O15" s="148"/>
      <c r="P15" s="236"/>
      <c r="Q15" s="64"/>
    </row>
    <row r="16" spans="1:17" ht="16.5" customHeight="1" x14ac:dyDescent="0.25">
      <c r="B16" s="258"/>
      <c r="C16" s="258"/>
      <c r="D16" s="258"/>
      <c r="E16" s="258"/>
      <c r="F16" s="258"/>
      <c r="G16" s="258"/>
      <c r="H16" s="258"/>
      <c r="I16" s="258"/>
      <c r="J16" s="9"/>
      <c r="K16" s="235"/>
      <c r="L16" s="148"/>
      <c r="M16" s="148"/>
      <c r="N16" s="148"/>
      <c r="O16" s="148"/>
      <c r="P16" s="236"/>
      <c r="Q16" s="64"/>
    </row>
    <row r="17" spans="2:17" ht="28.5" customHeight="1" x14ac:dyDescent="0.25">
      <c r="B17" s="230" t="s">
        <v>227</v>
      </c>
      <c r="C17" s="230"/>
      <c r="D17" s="230"/>
      <c r="E17" s="230"/>
      <c r="F17" s="230"/>
      <c r="G17" s="230"/>
      <c r="H17" s="230"/>
      <c r="I17" s="230"/>
      <c r="J17" s="9"/>
      <c r="K17" s="235" t="str">
        <f>IF(OR(Q8,Q7)=TRUE,"",IF(Q6=TRUE,"",IF($Q$5=TRUE,"Legalább 180 nap hajózási idő teljesítése képesített matrózként töltött szolgálat végzéséhez szükséges képesítés birtokában","és")))</f>
        <v>és</v>
      </c>
      <c r="L17" s="148"/>
      <c r="M17" s="148"/>
      <c r="N17" s="148"/>
      <c r="O17" s="148"/>
      <c r="P17" s="236"/>
      <c r="Q17" s="64"/>
    </row>
    <row r="18" spans="2:17" ht="22.5" customHeight="1" x14ac:dyDescent="0.25">
      <c r="B18" s="157" t="s">
        <v>193</v>
      </c>
      <c r="C18" s="157"/>
      <c r="D18" s="157"/>
      <c r="E18" s="157"/>
      <c r="G18" s="238" t="s">
        <v>146</v>
      </c>
      <c r="I18" s="238" t="s">
        <v>119</v>
      </c>
      <c r="J18" s="9"/>
      <c r="K18" s="235" t="str">
        <f>IF(OR(Q8,Q7)=TRUE,"",IF(OR(Q5,Q6)=TRUE,"","A jóváhagyott képzési program részeként legalább 360 nap hajózási idő"))</f>
        <v>A jóváhagyott képzési program részeként legalább 360 nap hajózási idő</v>
      </c>
      <c r="L18" s="148"/>
      <c r="M18" s="148"/>
      <c r="N18" s="148"/>
      <c r="O18" s="148"/>
      <c r="P18" s="236"/>
      <c r="Q18" s="64"/>
    </row>
    <row r="19" spans="2:17" ht="33" customHeight="1" x14ac:dyDescent="0.25">
      <c r="B19" s="237" t="s">
        <v>208</v>
      </c>
      <c r="C19" s="237" t="s">
        <v>210</v>
      </c>
      <c r="D19" s="237" t="s">
        <v>211</v>
      </c>
      <c r="E19" s="237" t="s">
        <v>212</v>
      </c>
      <c r="G19" s="238"/>
      <c r="I19" s="238"/>
      <c r="J19" s="9"/>
      <c r="K19" s="235" t="str">
        <f>IF(OR(Q8,Q7)=TRUE,"",IF(OR($Q$5,Q6)=TRUE,"","és"))</f>
        <v>és</v>
      </c>
      <c r="L19" s="148"/>
      <c r="M19" s="148"/>
      <c r="N19" s="148"/>
      <c r="O19" s="148"/>
      <c r="P19" s="236"/>
      <c r="Q19" s="64"/>
    </row>
    <row r="20" spans="2:17" ht="44.25" customHeight="1" thickBot="1" x14ac:dyDescent="0.3">
      <c r="B20" s="237"/>
      <c r="C20" s="237"/>
      <c r="D20" s="237"/>
      <c r="E20" s="237"/>
      <c r="G20" s="238"/>
      <c r="I20" s="238"/>
      <c r="J20" s="9"/>
      <c r="K20" s="232" t="str">
        <f>IF(OR(Q8,Q7)=TRUE,"",IF(Q5=TRUE,"","A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33"/>
      <c r="M20" s="233"/>
      <c r="N20" s="233"/>
      <c r="O20" s="233"/>
      <c r="P20" s="234"/>
      <c r="Q20" s="64"/>
    </row>
    <row r="21" spans="2:17" ht="16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38"/>
      <c r="I21" s="238"/>
      <c r="J21" s="9"/>
      <c r="K21" s="264"/>
      <c r="L21" s="264"/>
      <c r="M21" s="264"/>
      <c r="N21" s="264"/>
      <c r="O21" s="264"/>
      <c r="P21" s="264"/>
      <c r="Q21" s="25"/>
    </row>
    <row r="22" spans="2:17" ht="14.25" customHeight="1" x14ac:dyDescent="0.25">
      <c r="B22" s="74">
        <f>IF(OR($Q$8,$Q$7)=TRUE,"",(IF($Q$5=TRUE,"",KEZDŐLAP!$F$26)))</f>
        <v>17400</v>
      </c>
      <c r="C22" s="74">
        <f>IF(OR($Q$8,$Q$7)=TRUE,"",(IF($Q$5=TRUE,"",KEZDŐLAP!$F$26)))</f>
        <v>17400</v>
      </c>
      <c r="D22" s="74">
        <f>IF(OR($Q$8,$Q$7)=TRUE,"",(IF($Q$5=TRUE,"",KEZDŐLAP!$F$26)))</f>
        <v>17400</v>
      </c>
      <c r="E22" s="74">
        <f>IF(OR($Q$8,$Q$7)=TRUE,"",(IF($Q$5=TRUE,"",KEZDŐLAP!$F$26)))</f>
        <v>17400</v>
      </c>
      <c r="G22" s="76">
        <f>KEZDŐLAP!F32</f>
        <v>8700</v>
      </c>
      <c r="I22" s="77">
        <f>SUM(B22:E22)+SUM(B29:I29)+G22</f>
        <v>304700</v>
      </c>
      <c r="K22" s="231" t="str">
        <f>IF(Q8=TRUE,"",IF($Q$7=TRUE,"a nem UNIÓs kormányos képesítés birtokában, vizsga nélkül az alábbiak figyelembevételével:",""))</f>
        <v/>
      </c>
      <c r="L22" s="231"/>
      <c r="M22" s="231"/>
      <c r="N22" s="231"/>
      <c r="O22" s="231"/>
      <c r="P22" s="231"/>
      <c r="Q22" s="25"/>
    </row>
    <row r="23" spans="2:17" ht="14.25" customHeight="1" thickBot="1" x14ac:dyDescent="0.3">
      <c r="K23" s="231"/>
      <c r="L23" s="231"/>
      <c r="M23" s="231"/>
      <c r="N23" s="231"/>
      <c r="O23" s="231"/>
      <c r="P23" s="231"/>
      <c r="Q23" s="25"/>
    </row>
    <row r="24" spans="2:17" ht="14.25" customHeight="1" x14ac:dyDescent="0.25">
      <c r="B24" s="226" t="s">
        <v>59</v>
      </c>
      <c r="C24" s="226"/>
      <c r="D24" s="226"/>
      <c r="E24" s="226"/>
      <c r="F24" s="226"/>
      <c r="G24" s="226"/>
      <c r="H24" s="226"/>
      <c r="I24" s="226"/>
      <c r="K24" s="244" t="str">
        <f>IF(Q8=TRUE,"",IF($Q$7=TRUE,"Az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4" s="245"/>
      <c r="M24" s="245"/>
      <c r="N24" s="245"/>
      <c r="O24" s="245"/>
      <c r="P24" s="246"/>
    </row>
    <row r="25" spans="2:17" ht="14.25" customHeight="1" x14ac:dyDescent="0.25">
      <c r="B25" s="237" t="s">
        <v>213</v>
      </c>
      <c r="C25" s="237" t="s">
        <v>214</v>
      </c>
      <c r="D25" s="237" t="s">
        <v>215</v>
      </c>
      <c r="E25" s="237" t="s">
        <v>216</v>
      </c>
      <c r="F25" s="237" t="s">
        <v>217</v>
      </c>
      <c r="G25" s="237" t="s">
        <v>218</v>
      </c>
      <c r="H25" s="237" t="s">
        <v>219</v>
      </c>
      <c r="I25" s="237" t="s">
        <v>220</v>
      </c>
      <c r="K25" s="239"/>
      <c r="L25" s="170"/>
      <c r="M25" s="170"/>
      <c r="N25" s="170"/>
      <c r="O25" s="170"/>
      <c r="P25" s="240"/>
    </row>
    <row r="26" spans="2:17" x14ac:dyDescent="0.25">
      <c r="B26" s="237"/>
      <c r="C26" s="237"/>
      <c r="D26" s="237"/>
      <c r="E26" s="237"/>
      <c r="F26" s="237"/>
      <c r="G26" s="237"/>
      <c r="H26" s="237"/>
      <c r="I26" s="237"/>
      <c r="K26" s="239"/>
      <c r="L26" s="170"/>
      <c r="M26" s="170"/>
      <c r="N26" s="170"/>
      <c r="O26" s="170"/>
      <c r="P26" s="240"/>
    </row>
    <row r="27" spans="2:17" s="2" customFormat="1" ht="15" customHeight="1" x14ac:dyDescent="0.25">
      <c r="B27" s="237"/>
      <c r="C27" s="237"/>
      <c r="D27" s="237"/>
      <c r="E27" s="237"/>
      <c r="F27" s="237"/>
      <c r="G27" s="237"/>
      <c r="H27" s="237"/>
      <c r="I27" s="237"/>
      <c r="K27" s="239" t="str">
        <f>IF(Q8=TRUE,"",IF($Q$7=TRUE,"Az elfogadható kevesebb idő mértéke legfeljebb a speciális képzés időtartamának megfelelő lehet. A 2022. április 19. napja előtt megkezdett gyakorlatszerzésre fordított időt el kell fogadni.",""))</f>
        <v/>
      </c>
      <c r="L27" s="170"/>
      <c r="M27" s="170"/>
      <c r="N27" s="170"/>
      <c r="O27" s="170"/>
      <c r="P27" s="240"/>
    </row>
    <row r="28" spans="2:17" s="2" customFormat="1" ht="15.75" customHeight="1" thickBot="1" x14ac:dyDescent="0.3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K28" s="241"/>
      <c r="L28" s="242"/>
      <c r="M28" s="242"/>
      <c r="N28" s="242"/>
      <c r="O28" s="242"/>
      <c r="P28" s="243"/>
    </row>
    <row r="29" spans="2:17" s="1" customFormat="1" x14ac:dyDescent="0.25">
      <c r="B29" s="74">
        <f>IF(OR($Q$8,$Q$7)=TRUE,"",(IF($Q$5=TRUE,"",KEZDŐLAP!$F$29)))</f>
        <v>28300</v>
      </c>
      <c r="C29" s="74">
        <f>IF(OR($Q$8,$Q$7)=TRUE,"",(IF($Q$5=TRUE,"",KEZDŐLAP!$F$29)))</f>
        <v>28300</v>
      </c>
      <c r="D29" s="74">
        <f>IF(OR($Q$8,$Q$7)=TRUE,"",(IF($Q$5=TRUE,"",KEZDŐLAP!$F$29)))</f>
        <v>28300</v>
      </c>
      <c r="E29" s="74">
        <f>IF(OR($Q$8,$Q$7)=TRUE,"",(IF($Q$5=TRUE,"",KEZDŐLAP!$F$29)))</f>
        <v>28300</v>
      </c>
      <c r="F29" s="74">
        <f>IF(OR($Q$8,$Q$7)=TRUE,"",(IF($Q$5=TRUE,"",KEZDŐLAP!$F$29)))</f>
        <v>28300</v>
      </c>
      <c r="G29" s="74">
        <f>IF(OR($Q$12,$Q$7,Q8)=TRUE,"",(IF($Q$5=TRUE,"",KEZDŐLAP!F29)))</f>
        <v>28300</v>
      </c>
      <c r="H29" s="74">
        <f>IF(OR($Q$13,$Q$7,Q8)=TRUE,"",(IF($Q$5=TRUE,"",KEZDŐLAP!F29)))</f>
        <v>28300</v>
      </c>
      <c r="I29" s="74">
        <f>IF(OR($Q$14,$Q$7,Q8)=TRUE,"",(IF($Q$5=TRUE,"",KEZDŐLAP!F29)))</f>
        <v>28300</v>
      </c>
      <c r="J29" s="2"/>
      <c r="K29"/>
      <c r="L29"/>
      <c r="M29" s="195"/>
      <c r="N29" s="195"/>
      <c r="O29" s="195"/>
      <c r="P29" s="195"/>
    </row>
    <row r="30" spans="2:17" x14ac:dyDescent="0.25">
      <c r="K30" s="2"/>
      <c r="L30" s="2"/>
      <c r="M30" s="72"/>
      <c r="N30" s="72"/>
      <c r="O30" s="72"/>
      <c r="P30" s="72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72"/>
      <c r="N32" s="72"/>
      <c r="O32" s="72"/>
      <c r="P32" s="72"/>
    </row>
    <row r="33" spans="11:16" x14ac:dyDescent="0.25">
      <c r="K33" s="17"/>
      <c r="L33" s="17"/>
      <c r="M33" s="72"/>
      <c r="N33" s="72"/>
      <c r="O33" s="72"/>
      <c r="P33" s="72"/>
    </row>
    <row r="34" spans="11:16" x14ac:dyDescent="0.25">
      <c r="L34" s="17"/>
      <c r="M34" s="72"/>
      <c r="N34" s="72"/>
      <c r="O34" s="72"/>
      <c r="P34" s="72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selectLockedCells="1"/>
  <protectedRanges>
    <protectedRange password="EFFA" sqref="J2:Q2 A24:A29 L12:L16 K6 K12 M29:O29 J28:J29 K8:K10 Q3:Q23 K20 N3:P4 K3:K4 N1:P1 B1:L1 B3:I17 K23:K24 L21:P21 N22:P25 L24:M25 K28:L28 N28:P28 L3:L10 M16 N7:P11 K11:L11 N15:N16 M14 O12:P16 N12:N13 L18:L20 M18:M19 N18:P20 L17:P17 J3:J25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K32:N32 K31:L31" name="Tartomány1_2_1"/>
    <protectedRange password="EFFA" sqref="B2:I2" name="Tartomány1_7"/>
    <protectedRange password="EFFA" sqref="M30:N30" name="Tartomány1_2_1_1"/>
    <protectedRange password="EFFA" sqref="B23:I23 I22 E18:E20 I20 H18:H22" name="Tartomány1_4"/>
    <protectedRange password="EFFA" sqref="I18" name="Tartomány1_6_1"/>
    <protectedRange password="EFFA" sqref="G22" name="Tartomány1_5"/>
  </protectedRanges>
  <mergeCells count="40">
    <mergeCell ref="E25:E27"/>
    <mergeCell ref="F25:F27"/>
    <mergeCell ref="G25:G27"/>
    <mergeCell ref="H25:H27"/>
    <mergeCell ref="I25:I27"/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1:P11"/>
    <mergeCell ref="K10:P10"/>
    <mergeCell ref="K12:P16"/>
    <mergeCell ref="B17:I17"/>
    <mergeCell ref="B13:I16"/>
    <mergeCell ref="K19:P19"/>
    <mergeCell ref="K20:P20"/>
    <mergeCell ref="K17:P17"/>
    <mergeCell ref="K18:P18"/>
    <mergeCell ref="M29:P29"/>
    <mergeCell ref="B18:E18"/>
    <mergeCell ref="G18:G21"/>
    <mergeCell ref="I18:I21"/>
    <mergeCell ref="B19:B20"/>
    <mergeCell ref="C19:C20"/>
    <mergeCell ref="D19:D20"/>
    <mergeCell ref="E19:E20"/>
    <mergeCell ref="B24:I24"/>
    <mergeCell ref="B25:B27"/>
    <mergeCell ref="C25:C27"/>
    <mergeCell ref="D25:D27"/>
    <mergeCell ref="K22:P23"/>
    <mergeCell ref="K24:P26"/>
    <mergeCell ref="K27:P28"/>
    <mergeCell ref="K21:P21"/>
  </mergeCells>
  <conditionalFormatting sqref="F22:G22">
    <cfRule type="containsText" dxfId="51" priority="1" operator="containsText" text="Vizsga">
      <formula>NOT(ISERROR(SEARCH("Vizsga",F22)))</formula>
    </cfRule>
    <cfRule type="containsText" dxfId="50" priority="2" operator="containsText" text="&quot;Vizsga&quot;">
      <formula>NOT(ISERROR(SEARCH("""Vizsga""",F22)))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104775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171450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8</xdr:col>
                    <xdr:colOff>742950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1</xdr:col>
                    <xdr:colOff>428625</xdr:colOff>
                    <xdr:row>9</xdr:row>
                    <xdr:rowOff>66675</xdr:rowOff>
                  </from>
                  <to>
                    <xdr:col>8</xdr:col>
                    <xdr:colOff>695325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114300</xdr:rowOff>
                  </from>
                  <to>
                    <xdr:col>8</xdr:col>
                    <xdr:colOff>695325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142875</xdr:rowOff>
                  </from>
                  <to>
                    <xdr:col>8</xdr:col>
                    <xdr:colOff>695325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0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152400</xdr:rowOff>
                  </from>
                  <to>
                    <xdr:col>8</xdr:col>
                    <xdr:colOff>847725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097-0FD2-4108-A6B0-E01B8913CD22}">
  <sheetPr>
    <tabColor rgb="FFFFC000"/>
  </sheetPr>
  <dimension ref="A1:R34"/>
  <sheetViews>
    <sheetView workbookViewId="0"/>
  </sheetViews>
  <sheetFormatPr defaultRowHeight="15" x14ac:dyDescent="0.25"/>
  <cols>
    <col min="1" max="1" width="3.42578125" customWidth="1"/>
    <col min="2" max="8" width="14.7109375" customWidth="1"/>
    <col min="9" max="9" width="3.85546875" customWidth="1"/>
    <col min="10" max="10" width="15.85546875" customWidth="1"/>
    <col min="11" max="11" width="3.5703125" customWidth="1"/>
    <col min="12" max="13" width="19.28515625" customWidth="1"/>
    <col min="14" max="15" width="8.5703125" customWidth="1"/>
    <col min="16" max="17" width="19.28515625" customWidth="1"/>
    <col min="18" max="18" width="1.28515625" customWidth="1"/>
  </cols>
  <sheetData>
    <row r="1" spans="1:18" x14ac:dyDescent="0.25">
      <c r="A1" s="26" t="s">
        <v>43</v>
      </c>
      <c r="B1" s="146" t="s">
        <v>189</v>
      </c>
      <c r="C1" s="146"/>
      <c r="D1" s="146"/>
      <c r="E1" s="146"/>
      <c r="F1" s="146"/>
      <c r="G1" s="146"/>
      <c r="H1" s="146"/>
      <c r="I1" s="146"/>
      <c r="J1" s="146"/>
      <c r="L1" s="146" t="s">
        <v>191</v>
      </c>
      <c r="M1" s="146"/>
      <c r="N1" s="146"/>
      <c r="O1" s="146"/>
      <c r="P1" s="146"/>
      <c r="Q1" s="146"/>
    </row>
    <row r="2" spans="1:18" ht="6" customHeight="1" thickBot="1" x14ac:dyDescent="0.3">
      <c r="B2" s="195"/>
      <c r="C2" s="195"/>
      <c r="D2" s="195"/>
      <c r="E2" s="195"/>
      <c r="F2" s="195"/>
      <c r="G2" s="195"/>
      <c r="H2" s="195"/>
      <c r="I2" s="195"/>
      <c r="J2" s="195"/>
      <c r="L2" s="1"/>
      <c r="R2" s="24"/>
    </row>
    <row r="3" spans="1:18" ht="17.25" customHeight="1" x14ac:dyDescent="0.25">
      <c r="B3" s="175" t="s">
        <v>192</v>
      </c>
      <c r="C3" s="175"/>
      <c r="D3" s="175"/>
      <c r="E3" s="175"/>
      <c r="F3" s="175"/>
      <c r="G3" s="175"/>
      <c r="H3" s="175"/>
      <c r="I3" s="175"/>
      <c r="J3" s="175"/>
      <c r="L3" s="259" t="str">
        <f>IF(OR(R5,R4)=TRUE,"Okmánykiállítási kérelem","Vizsgajelentkezési/okmány kiállítási kérelem")</f>
        <v>Vizsgajelentkezési/okmány kiállítási kérelem</v>
      </c>
      <c r="M3" s="260"/>
      <c r="N3" s="260"/>
      <c r="O3" s="260"/>
      <c r="P3" s="260"/>
      <c r="Q3" s="261"/>
      <c r="R3" s="64"/>
    </row>
    <row r="4" spans="1:18" ht="17.2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L4" s="280" t="str">
        <f>IF(AND(R14=1,R4=FALSE,R5=FALSE,R9=FALSE,R8=FALSE,R10=FALSE),"A munkatapasztalat igazolása, munkaszerződéssel, egyéb igazolásokkal",IF(AND(R4=FALSE,R5=FALSE,R14=3,R10=FALSE),"Szakképesítés igazolása",""))</f>
        <v/>
      </c>
      <c r="M4" s="179"/>
      <c r="N4" s="179"/>
      <c r="O4" s="179"/>
      <c r="P4" s="179"/>
      <c r="Q4" s="281"/>
      <c r="R4" s="64" t="b">
        <v>0</v>
      </c>
    </row>
    <row r="5" spans="1:18" ht="17.25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L5" s="262" t="s">
        <v>7</v>
      </c>
      <c r="M5" s="177"/>
      <c r="N5" s="177"/>
      <c r="O5" s="177"/>
      <c r="P5" s="177"/>
      <c r="Q5" s="263"/>
      <c r="R5" s="64" t="b">
        <v>0</v>
      </c>
    </row>
    <row r="6" spans="1:18" ht="17.25" customHeight="1" x14ac:dyDescent="0.25">
      <c r="B6" s="8"/>
      <c r="C6" s="8"/>
      <c r="D6" s="8"/>
      <c r="E6" s="8"/>
      <c r="F6" s="8"/>
      <c r="G6" s="8"/>
      <c r="H6" s="8"/>
      <c r="I6" s="8"/>
      <c r="J6" s="8"/>
      <c r="L6" s="262" t="s">
        <v>129</v>
      </c>
      <c r="M6" s="177"/>
      <c r="N6" s="177"/>
      <c r="O6" s="177"/>
      <c r="P6" s="177"/>
      <c r="Q6" s="263"/>
      <c r="R6" s="64" t="b">
        <v>0</v>
      </c>
    </row>
    <row r="7" spans="1:18" ht="17.25" customHeight="1" x14ac:dyDescent="0.25">
      <c r="B7" s="8"/>
      <c r="C7" s="8"/>
      <c r="D7" s="8"/>
      <c r="E7" s="8"/>
      <c r="F7" s="8"/>
      <c r="G7" s="8"/>
      <c r="H7" s="8"/>
      <c r="I7" s="8"/>
      <c r="J7" s="8"/>
      <c r="L7" s="253" t="s">
        <v>205</v>
      </c>
      <c r="M7" s="174"/>
      <c r="N7" s="174"/>
      <c r="O7" s="174"/>
      <c r="P7" s="174"/>
      <c r="Q7" s="254"/>
      <c r="R7" s="64" t="b">
        <v>0</v>
      </c>
    </row>
    <row r="8" spans="1:18" ht="17.25" customHeight="1" x14ac:dyDescent="0.25">
      <c r="B8" s="8"/>
      <c r="C8" s="8"/>
      <c r="D8" s="8"/>
      <c r="E8" s="8"/>
      <c r="F8" s="8"/>
      <c r="G8" s="8"/>
      <c r="H8" s="8"/>
      <c r="I8" s="8"/>
      <c r="J8" s="8"/>
      <c r="L8" s="253"/>
      <c r="M8" s="174"/>
      <c r="N8" s="174"/>
      <c r="O8" s="174"/>
      <c r="P8" s="174"/>
      <c r="Q8" s="254"/>
      <c r="R8" s="64" t="b">
        <v>0</v>
      </c>
    </row>
    <row r="9" spans="1:18" ht="17.2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53" t="s">
        <v>110</v>
      </c>
      <c r="M9" s="174"/>
      <c r="N9" s="174"/>
      <c r="O9" s="174"/>
      <c r="P9" s="174"/>
      <c r="Q9" s="254"/>
      <c r="R9" s="64" t="b">
        <v>0</v>
      </c>
    </row>
    <row r="10" spans="1:18" ht="17.2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278" t="s">
        <v>190</v>
      </c>
      <c r="M10" s="168"/>
      <c r="N10" s="168"/>
      <c r="O10" s="168"/>
      <c r="P10" s="168"/>
      <c r="Q10" s="279"/>
      <c r="R10" s="64" t="b">
        <v>0</v>
      </c>
    </row>
    <row r="11" spans="1:18" ht="17.2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L11" s="266" t="str">
        <f>IF(OR(R4,R5,$R$6,R12,R13)=TRUE,"","Betöltött 18. életév")</f>
        <v>Betöltött 18. életév</v>
      </c>
      <c r="M11" s="267"/>
      <c r="N11" s="267"/>
      <c r="O11" s="267"/>
      <c r="P11" s="267"/>
      <c r="Q11" s="268"/>
      <c r="R11" s="64" t="b">
        <v>0</v>
      </c>
    </row>
    <row r="12" spans="1:18" ht="17.2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L12" s="231" t="s">
        <v>206</v>
      </c>
      <c r="M12" s="231"/>
      <c r="N12" s="231"/>
      <c r="O12" s="231"/>
      <c r="P12" s="231"/>
      <c r="Q12" s="231"/>
      <c r="R12" s="64"/>
    </row>
    <row r="13" spans="1:18" ht="18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82" t="str">
        <f>IF(AND($R$8=TRUE,R9=FALSE,R12=FALSE,R13=FALSE,R4=FALSE,R5=FALSE),"Legalább 360 nap,a képzés részeként vagy annak befejezése után teljesített hajózási idő igazolása","")</f>
        <v/>
      </c>
      <c r="M13" s="283"/>
      <c r="N13" s="84"/>
      <c r="O13" s="84"/>
      <c r="P13" s="283" t="str">
        <f>IF(AND(R9=TRUE,R4=FALSE,R5=FALSE,R10=FALSE),"Legalább 180 nap hajózási idő igazolása","")</f>
        <v/>
      </c>
      <c r="Q13" s="284"/>
      <c r="R13" s="64"/>
    </row>
    <row r="14" spans="1:18" ht="18" customHeight="1" x14ac:dyDescent="0.25">
      <c r="B14" s="85" t="s">
        <v>207</v>
      </c>
      <c r="C14" s="8"/>
      <c r="D14" s="8"/>
      <c r="E14" s="8"/>
      <c r="F14" s="8"/>
      <c r="G14" s="8"/>
      <c r="H14" s="8"/>
      <c r="I14" s="8"/>
      <c r="J14" s="8"/>
      <c r="L14" s="273"/>
      <c r="M14" s="274"/>
      <c r="N14" s="88"/>
      <c r="O14" s="88"/>
      <c r="P14" s="274"/>
      <c r="Q14" s="275"/>
      <c r="R14" s="64">
        <v>4</v>
      </c>
    </row>
    <row r="15" spans="1:18" ht="18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9"/>
      <c r="L15" s="273"/>
      <c r="M15" s="274"/>
      <c r="N15" s="270"/>
      <c r="O15" s="270"/>
      <c r="P15" s="274"/>
      <c r="Q15" s="275"/>
      <c r="R15" s="64"/>
    </row>
    <row r="16" spans="1:18" ht="18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9"/>
      <c r="L16" s="273"/>
      <c r="M16" s="274"/>
      <c r="N16" s="88"/>
      <c r="O16" s="88"/>
      <c r="P16" s="274"/>
      <c r="Q16" s="275"/>
      <c r="R16" s="64"/>
    </row>
    <row r="17" spans="2:18" ht="18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9"/>
      <c r="L17" s="273"/>
      <c r="M17" s="274"/>
      <c r="N17" s="88"/>
      <c r="O17" s="88"/>
      <c r="P17" s="274"/>
      <c r="Q17" s="275"/>
      <c r="R17" s="64"/>
    </row>
    <row r="18" spans="2:18" ht="16.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9"/>
      <c r="L18" s="269"/>
      <c r="M18" s="270"/>
      <c r="N18" s="270"/>
      <c r="O18" s="270"/>
      <c r="P18" s="270"/>
      <c r="Q18" s="271"/>
      <c r="R18" s="64"/>
    </row>
    <row r="19" spans="2:18" ht="18" customHeight="1" x14ac:dyDescent="0.25">
      <c r="B19" s="8"/>
      <c r="C19" s="8"/>
      <c r="D19" s="8"/>
      <c r="E19" s="8"/>
      <c r="F19" s="8"/>
      <c r="G19" s="8"/>
      <c r="H19" s="8"/>
      <c r="I19" s="8"/>
      <c r="J19" s="8"/>
      <c r="K19" s="9"/>
      <c r="L19" s="273" t="str">
        <f>IF(AND(R14&lt;4,R9=FALSE,R8=FALSE,R4=FALSE,R5=FALSE,R10=FALSE),"Legalább másfél év időtartamú, irányítási szintű jóváhagyott képzési program elvégzése","")</f>
        <v/>
      </c>
      <c r="M19" s="274"/>
      <c r="N19" s="274"/>
      <c r="O19" s="274"/>
      <c r="P19" s="274"/>
      <c r="Q19" s="275"/>
      <c r="R19" s="64"/>
    </row>
    <row r="20" spans="2:18" ht="43.5" customHeight="1" x14ac:dyDescent="0.25">
      <c r="B20" s="230" t="s">
        <v>227</v>
      </c>
      <c r="C20" s="230"/>
      <c r="D20" s="230"/>
      <c r="E20" s="230"/>
      <c r="F20" s="230"/>
      <c r="G20" s="230"/>
      <c r="H20" s="230"/>
      <c r="I20" s="230"/>
      <c r="J20" s="230"/>
      <c r="K20" s="9"/>
      <c r="L20" s="273" t="str">
        <f>IF(AND(R14&lt;4,R9=FALSE,R8=FALSE,R4=FALSE,R5=FALSE,R10=FALSE),"A jóváhagyott képzési program keretében lezajlott, legalább 180 nap hajózási idő igazolása, és legalább 180 nap a képzési program befejezése utáni időszakból származó hajózási időt igazolása","")</f>
        <v/>
      </c>
      <c r="M20" s="274"/>
      <c r="N20" s="274"/>
      <c r="O20" s="274"/>
      <c r="P20" s="274"/>
      <c r="Q20" s="275"/>
      <c r="R20" s="64"/>
    </row>
    <row r="21" spans="2:18" ht="33" customHeight="1" x14ac:dyDescent="0.25">
      <c r="B21" s="157" t="s">
        <v>193</v>
      </c>
      <c r="C21" s="157"/>
      <c r="D21" s="157" t="s">
        <v>194</v>
      </c>
      <c r="E21" s="157"/>
      <c r="F21" s="157" t="s">
        <v>204</v>
      </c>
      <c r="G21" s="157"/>
      <c r="H21" s="277" t="s">
        <v>200</v>
      </c>
      <c r="J21" s="238" t="s">
        <v>84</v>
      </c>
      <c r="K21" s="9"/>
      <c r="L21" s="273" t="str">
        <f>IF(OR(R4,R5,R8,R9,R10,R11,R12,R13,R14&lt;4)=TRUE,"","Legalább 540 nap hajózási idő igazolása, vagy legalább 180 nap hajózási idő igazolása és további, tengeri hajón a fedélzeti személyzet tagjaként megszerzett, legalább 500 nap munkatapasztalat igazolása")</f>
        <v>Legalább 540 nap hajózási idő igazolása, vagy legalább 180 nap hajózási idő igazolása és további, tengeri hajón a fedélzeti személyzet tagjaként megszerzett, legalább 500 nap munkatapasztalat igazolása</v>
      </c>
      <c r="M21" s="274"/>
      <c r="N21" s="274"/>
      <c r="O21" s="274"/>
      <c r="P21" s="274"/>
      <c r="Q21" s="275"/>
      <c r="R21" s="64"/>
    </row>
    <row r="22" spans="2:18" ht="21" customHeight="1" x14ac:dyDescent="0.25">
      <c r="B22" s="277" t="s">
        <v>195</v>
      </c>
      <c r="C22" s="277" t="s">
        <v>196</v>
      </c>
      <c r="D22" s="277" t="s">
        <v>197</v>
      </c>
      <c r="E22" s="277" t="s">
        <v>198</v>
      </c>
      <c r="F22" s="277" t="s">
        <v>199</v>
      </c>
      <c r="G22" s="277" t="s">
        <v>198</v>
      </c>
      <c r="H22" s="277"/>
      <c r="I22" s="170"/>
      <c r="J22" s="238"/>
      <c r="K22" s="9"/>
      <c r="L22" s="235" t="str">
        <f>IF(R10=TRUE,"Legalább két év kompvezetői hajózási idő igazolása","")</f>
        <v/>
      </c>
      <c r="M22" s="148"/>
      <c r="N22" s="148"/>
      <c r="O22" s="148"/>
      <c r="P22" s="148"/>
      <c r="Q22" s="236"/>
      <c r="R22" s="25"/>
    </row>
    <row r="23" spans="2:18" ht="15" customHeight="1" x14ac:dyDescent="0.25">
      <c r="B23" s="277"/>
      <c r="C23" s="277"/>
      <c r="D23" s="277"/>
      <c r="E23" s="277"/>
      <c r="F23" s="277"/>
      <c r="G23" s="277"/>
      <c r="H23" s="277"/>
      <c r="I23" s="170"/>
      <c r="J23" s="238"/>
      <c r="L23" s="90"/>
      <c r="M23" s="89"/>
      <c r="N23" s="89"/>
      <c r="O23" s="89"/>
      <c r="P23" s="89"/>
      <c r="Q23" s="91"/>
      <c r="R23" s="25"/>
    </row>
    <row r="24" spans="2:18" ht="20.25" customHeight="1" thickBot="1" x14ac:dyDescent="0.3">
      <c r="B24" s="277"/>
      <c r="C24" s="277"/>
      <c r="D24" s="277"/>
      <c r="E24" s="277"/>
      <c r="F24" s="277"/>
      <c r="G24" s="277"/>
      <c r="H24" s="277"/>
      <c r="I24" s="170"/>
      <c r="J24" s="238"/>
      <c r="L24" s="92"/>
      <c r="M24" s="93"/>
      <c r="N24" s="93"/>
      <c r="O24" s="93"/>
      <c r="P24" s="93"/>
      <c r="Q24" s="94"/>
      <c r="R24" s="25"/>
    </row>
    <row r="25" spans="2:18" ht="19.5" customHeight="1" x14ac:dyDescent="0.25">
      <c r="B25" s="81" t="s">
        <v>201</v>
      </c>
      <c r="C25" s="81" t="s">
        <v>202</v>
      </c>
      <c r="D25" s="81" t="s">
        <v>203</v>
      </c>
      <c r="E25" s="81" t="s">
        <v>203</v>
      </c>
      <c r="F25" s="81" t="s">
        <v>199</v>
      </c>
      <c r="G25" s="81" t="s">
        <v>202</v>
      </c>
      <c r="H25" s="81" t="s">
        <v>203</v>
      </c>
      <c r="I25" s="170"/>
      <c r="J25" s="238"/>
      <c r="L25" s="18"/>
      <c r="M25" s="18"/>
      <c r="N25" s="18"/>
      <c r="O25" s="18"/>
      <c r="P25" s="18"/>
      <c r="Q25" s="18"/>
    </row>
    <row r="26" spans="2:18" ht="19.5" customHeight="1" x14ac:dyDescent="0.25">
      <c r="B26" s="80">
        <f>IF(OR($R$4,$R$5,$R$6,$R$10)=TRUE,"",KEZDŐLAP!F25)</f>
        <v>10800</v>
      </c>
      <c r="C26" s="80">
        <f>IF(OR($R$4,$R$5,$R$10)=TRUE,"",KEZDŐLAP!F26)</f>
        <v>17400</v>
      </c>
      <c r="D26" s="80">
        <f>IF(OR($R$4,$R$5,$R$7,$R$10)=TRUE,"",KEZDŐLAP!F29)</f>
        <v>28300</v>
      </c>
      <c r="E26" s="80">
        <f>IF(OR($R$4,$R$5,R7,$R$10)=TRUE,"",KEZDŐLAP!F29)</f>
        <v>28300</v>
      </c>
      <c r="F26" s="80">
        <f>IF(OR($R$4,$R$5,$R$10)=TRUE,"",KEZDŐLAP!F28)</f>
        <v>21800</v>
      </c>
      <c r="G26" s="80">
        <f>IF(OR($R$4,$R$5,$R$10)=TRUE,"",KEZDŐLAP!F26)</f>
        <v>17400</v>
      </c>
      <c r="H26" s="74">
        <f>IF(OR($R$4,$R$5,$R$10)=TRUE,"",KEZDŐLAP!F29)</f>
        <v>28300</v>
      </c>
      <c r="J26" s="76">
        <f>KEZDŐLAP!F30</f>
        <v>6500</v>
      </c>
      <c r="L26" s="18"/>
      <c r="M26" s="18"/>
      <c r="N26" s="18"/>
      <c r="O26" s="18"/>
      <c r="P26" s="18"/>
      <c r="Q26" s="18"/>
    </row>
    <row r="27" spans="2:18" ht="19.5" customHeight="1" x14ac:dyDescent="0.25">
      <c r="F27" s="82" t="s">
        <v>12</v>
      </c>
      <c r="G27" s="276">
        <f>SUM(B26:H26)</f>
        <v>152300</v>
      </c>
      <c r="H27" s="276"/>
      <c r="L27" s="18"/>
      <c r="M27" s="18"/>
      <c r="N27" s="18"/>
      <c r="O27" s="18"/>
      <c r="P27" s="18"/>
      <c r="Q27" s="18"/>
    </row>
    <row r="28" spans="2:18" ht="15.75" customHeight="1" x14ac:dyDescent="0.25">
      <c r="J28" s="272" t="s">
        <v>119</v>
      </c>
      <c r="K28" s="17"/>
      <c r="L28" s="17"/>
      <c r="M28" s="17"/>
      <c r="N28" s="17"/>
      <c r="O28" s="17"/>
      <c r="P28" s="17"/>
      <c r="Q28" s="17"/>
      <c r="R28" s="17"/>
    </row>
    <row r="29" spans="2:18" ht="15.75" customHeight="1" x14ac:dyDescent="0.25">
      <c r="J29" s="272"/>
      <c r="K29" s="17"/>
      <c r="L29" s="17"/>
      <c r="M29" s="17"/>
      <c r="N29" s="17"/>
      <c r="O29" s="17"/>
      <c r="P29" s="17"/>
      <c r="Q29" s="17"/>
      <c r="R29" s="17"/>
    </row>
    <row r="30" spans="2:18" ht="15.75" customHeight="1" x14ac:dyDescent="0.25">
      <c r="J30" s="272"/>
      <c r="K30" s="17"/>
      <c r="L30" s="17"/>
      <c r="M30" s="17"/>
      <c r="N30" s="17"/>
      <c r="O30" s="17"/>
      <c r="P30" s="17"/>
      <c r="Q30" s="17"/>
      <c r="R30" s="17"/>
    </row>
    <row r="31" spans="2:18" ht="15.75" customHeight="1" x14ac:dyDescent="0.25">
      <c r="J31" s="272"/>
      <c r="L31" s="17"/>
      <c r="M31" s="17"/>
      <c r="N31" s="17"/>
      <c r="O31" s="17"/>
      <c r="P31" s="17"/>
      <c r="Q31" s="17"/>
      <c r="R31" s="17"/>
    </row>
    <row r="32" spans="2:18" ht="15.75" customHeight="1" x14ac:dyDescent="0.25">
      <c r="J32" s="83">
        <f>SUM(B26:J26)</f>
        <v>158800</v>
      </c>
      <c r="K32" s="17"/>
      <c r="L32" s="17"/>
      <c r="M32" s="17"/>
      <c r="N32" s="17"/>
      <c r="O32" s="17"/>
      <c r="P32" s="17"/>
      <c r="Q32" s="17"/>
      <c r="R32" s="17"/>
    </row>
    <row r="33" spans="11:18" ht="15.75" customHeight="1" x14ac:dyDescent="0.25">
      <c r="K33" s="17"/>
      <c r="L33" s="17"/>
      <c r="M33" s="17"/>
      <c r="N33" s="17"/>
      <c r="O33" s="17"/>
      <c r="P33" s="17"/>
      <c r="Q33" s="17"/>
      <c r="R33" s="17"/>
    </row>
    <row r="34" spans="11:18" x14ac:dyDescent="0.25">
      <c r="K34" s="17"/>
      <c r="L34" s="17"/>
      <c r="M34" s="17"/>
      <c r="N34" s="17"/>
      <c r="O34" s="17"/>
      <c r="P34" s="17"/>
      <c r="Q34" s="17"/>
      <c r="R34" s="17"/>
    </row>
  </sheetData>
  <sheetProtection sheet="1" selectLockedCells="1"/>
  <protectedRanges>
    <protectedRange password="EFFA" sqref="N31:P31 K2:R2 M13:M19 L7 L13 J32 N30:Q30 L9:L11 R3:R24 O3:Q5 L3:L5 O1:Q1 B1:M1 K32 O13:O14 L23 M22:Q22 O23:Q23 M3:M11 N17:N19 O8:Q12 L12:M12 O16:O19 N15 P13:Q19 N34:P34 L31 L28:R29 R31:R33 J30 A25:A27 K3:K26 B3:J19 B20:G21 I26:J27 H20 B27:G27 I20:J21 J23:J25 L21:M21 O21:Q21 M20:Q20 M25:Q27 L25 K28" name="Tartomány1"/>
    <protectedRange password="EFFA" sqref="L14 L17:L20 L8 L26:L27 L22" name="Tartomány1_2"/>
    <protectedRange password="EFFA" sqref="L6 O6:Q6" name="Tartomány1_1"/>
    <protectedRange password="EFFA" sqref="A1" name="Tartomány1_3"/>
    <protectedRange password="EFFA" sqref="J28" name="Tartomány1_6"/>
    <protectedRange password="EFFA" sqref="B2:J2" name="Tartomány1_7"/>
  </protectedRanges>
  <mergeCells count="36">
    <mergeCell ref="L13:M17"/>
    <mergeCell ref="P13:Q17"/>
    <mergeCell ref="N15:O15"/>
    <mergeCell ref="B22:B24"/>
    <mergeCell ref="C22:C24"/>
    <mergeCell ref="D22:D24"/>
    <mergeCell ref="E22:E24"/>
    <mergeCell ref="F22:F24"/>
    <mergeCell ref="I22:I25"/>
    <mergeCell ref="L10:Q10"/>
    <mergeCell ref="B1:J1"/>
    <mergeCell ref="L1:Q1"/>
    <mergeCell ref="B2:J2"/>
    <mergeCell ref="B3:J3"/>
    <mergeCell ref="L3:Q3"/>
    <mergeCell ref="L5:Q5"/>
    <mergeCell ref="L6:Q6"/>
    <mergeCell ref="L7:Q8"/>
    <mergeCell ref="L9:Q9"/>
    <mergeCell ref="L4:Q4"/>
    <mergeCell ref="L11:Q11"/>
    <mergeCell ref="L12:Q12"/>
    <mergeCell ref="L18:Q18"/>
    <mergeCell ref="J28:J31"/>
    <mergeCell ref="L19:Q19"/>
    <mergeCell ref="L20:Q20"/>
    <mergeCell ref="L21:Q21"/>
    <mergeCell ref="L22:Q22"/>
    <mergeCell ref="B20:J20"/>
    <mergeCell ref="G27:H27"/>
    <mergeCell ref="J21:J25"/>
    <mergeCell ref="B21:C21"/>
    <mergeCell ref="D21:E21"/>
    <mergeCell ref="F21:G21"/>
    <mergeCell ref="H21:H24"/>
    <mergeCell ref="G22:G24"/>
  </mergeCells>
  <hyperlinks>
    <hyperlink ref="A1" location="KEZDŐLAP!A1" display="X" xr:uid="{EEC2E277-893B-4DBE-91CF-E28C9167F1E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0</xdr:rowOff>
                  </from>
                  <to>
                    <xdr:col>6</xdr:col>
                    <xdr:colOff>571500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38100</xdr:rowOff>
                  </from>
                  <to>
                    <xdr:col>9</xdr:col>
                    <xdr:colOff>800100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95250</xdr:rowOff>
                  </from>
                  <to>
                    <xdr:col>9</xdr:col>
                    <xdr:colOff>771525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3" r:id="rId7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200025</xdr:rowOff>
                  </from>
                  <to>
                    <xdr:col>7</xdr:col>
                    <xdr:colOff>971550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4" r:id="rId8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180975</xdr:rowOff>
                  </from>
                  <to>
                    <xdr:col>6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5" r:id="rId9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209550</xdr:rowOff>
                  </from>
                  <to>
                    <xdr:col>9</xdr:col>
                    <xdr:colOff>923925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8" r:id="rId10" name="Option Button 12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219075</xdr:rowOff>
                  </from>
                  <to>
                    <xdr:col>9</xdr:col>
                    <xdr:colOff>723900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9" r:id="rId11" name="Option Button 1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47625</xdr:rowOff>
                  </from>
                  <to>
                    <xdr:col>9</xdr:col>
                    <xdr:colOff>733425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0" r:id="rId12" name="Option Button 14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104775</xdr:rowOff>
                  </from>
                  <to>
                    <xdr:col>9</xdr:col>
                    <xdr:colOff>733425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1" r:id="rId13" name="Option Button 15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9</xdr:col>
                    <xdr:colOff>723900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123825</xdr:rowOff>
                  </from>
                  <to>
                    <xdr:col>9</xdr:col>
                    <xdr:colOff>781050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26" t="s">
        <v>43</v>
      </c>
      <c r="B1" s="146" t="s">
        <v>124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133</v>
      </c>
      <c r="N1" s="146"/>
      <c r="O1" s="146"/>
      <c r="P1" s="146"/>
    </row>
    <row r="2" spans="1:17" ht="13.5" customHeight="1" x14ac:dyDescent="0.25">
      <c r="B2" s="175" t="s">
        <v>123</v>
      </c>
      <c r="C2" s="175"/>
      <c r="D2" s="175"/>
      <c r="E2" s="175"/>
      <c r="F2" s="175"/>
      <c r="G2" s="175"/>
      <c r="H2" s="175"/>
      <c r="I2" s="175"/>
      <c r="K2" s="1"/>
      <c r="Q2" s="24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48" t="str">
        <f>IF($E$19&gt;0,"A vizsgát megelőző 10 év során, legalább 8 hegymeneti és 8 völgymeneti út igazolt megtétele a teljes szakaszon (a 2017/2397 irányelv hatálya alá tartozó vízijárművön, fedélzeti személyzet tagjaként)
","")</f>
        <v/>
      </c>
      <c r="M3" s="174" t="str">
        <f>IF(E19=0,"","Írásos vizsgajelentkezési kérelem és okmányigénylés")</f>
        <v/>
      </c>
      <c r="N3" s="174"/>
      <c r="O3" s="174"/>
      <c r="P3" s="174"/>
      <c r="Q3" s="64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/>
      <c r="N4" s="177"/>
      <c r="O4" s="177"/>
      <c r="P4" s="177"/>
      <c r="Q4" s="64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77" t="str">
        <f>IF(E19=0,"","Személyazonosság igazolása")</f>
        <v/>
      </c>
      <c r="N5" s="177"/>
      <c r="O5" s="177"/>
      <c r="P5" s="177"/>
      <c r="Q5" s="64" t="b">
        <v>0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74" t="str">
        <f>IF(E19=0,"","Érvényes, a bizonyítvány igénylésének napját megelőző 3 hónapon belül kiállított, fedélzeti szolgálatra szóló egészségi alkalmasság igazolása")</f>
        <v/>
      </c>
      <c r="N6" s="174"/>
      <c r="O6" s="174"/>
      <c r="P6" s="174"/>
      <c r="Q6" s="64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N8" s="174"/>
      <c r="O8" s="174"/>
      <c r="P8" s="174"/>
      <c r="Q8" s="64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228" t="str">
        <f>IF($E$19&gt;0,"A 8 hegymeneti és 8 völgymeneti útból legalább hármat a vizsgát megelőző 3 évben kell megtenni
","")</f>
        <v/>
      </c>
      <c r="M9" s="174"/>
      <c r="N9" s="174"/>
      <c r="O9" s="174"/>
      <c r="P9" s="174"/>
      <c r="Q9" s="64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228"/>
      <c r="M12" s="177" t="str">
        <f>IF(E19=0,"","2 db színes igazolványkép")</f>
        <v/>
      </c>
      <c r="N12" s="177"/>
      <c r="O12" s="177"/>
      <c r="P12" s="177"/>
      <c r="Q12" s="64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228"/>
      <c r="M13" s="174" t="str">
        <f>IF(E19=0,"","Díj befizetésének igazolása")</f>
        <v/>
      </c>
      <c r="N13" s="174"/>
      <c r="O13" s="174"/>
      <c r="P13" s="174"/>
      <c r="Q13" s="64"/>
    </row>
    <row r="14" spans="1:17" ht="8.25" customHeight="1" x14ac:dyDescent="0.25">
      <c r="M14" s="195"/>
      <c r="N14" s="195"/>
      <c r="O14" s="195"/>
      <c r="P14" s="195"/>
    </row>
    <row r="15" spans="1:17" x14ac:dyDescent="0.25">
      <c r="B15" s="157" t="s">
        <v>128</v>
      </c>
      <c r="C15" s="157"/>
      <c r="D15" s="157"/>
      <c r="E15" s="44"/>
      <c r="K15" s="1" t="s">
        <v>119</v>
      </c>
      <c r="M15" s="197" t="s">
        <v>132</v>
      </c>
      <c r="N15" s="197"/>
      <c r="O15" s="197"/>
      <c r="P15" s="197"/>
    </row>
    <row r="16" spans="1:17" s="2" customFormat="1" ht="124.5" customHeight="1" x14ac:dyDescent="0.25">
      <c r="B16" s="3" t="s">
        <v>125</v>
      </c>
      <c r="C16" s="3" t="s">
        <v>126</v>
      </c>
      <c r="D16" s="3" t="s">
        <v>127</v>
      </c>
      <c r="E16" s="3" t="s">
        <v>84</v>
      </c>
      <c r="F16" s="37"/>
      <c r="G16" s="37"/>
      <c r="H16" s="37"/>
      <c r="K16" s="43">
        <f>SUM(E18:E19)</f>
        <v>0</v>
      </c>
      <c r="L16" s="17"/>
      <c r="M16" s="286" t="s">
        <v>130</v>
      </c>
      <c r="N16" s="286"/>
      <c r="O16" s="286"/>
      <c r="P16" s="286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/>
      </c>
      <c r="D17" s="6" t="str">
        <f t="shared" si="0"/>
        <v/>
      </c>
      <c r="E17" s="42" t="s">
        <v>85</v>
      </c>
      <c r="F17" s="36"/>
      <c r="G17" s="36"/>
      <c r="H17" s="36"/>
      <c r="L17" s="17"/>
      <c r="M17" s="17"/>
      <c r="N17" s="17"/>
      <c r="O17" s="17"/>
      <c r="P17" s="17"/>
    </row>
    <row r="18" spans="2:16" s="1" customFormat="1" x14ac:dyDescent="0.25">
      <c r="B18" s="33">
        <f>IF($Q$4=TRUE,KEZDŐLAP!F25,0)</f>
        <v>0</v>
      </c>
      <c r="C18" s="33">
        <f>IF($Q$5=TRUE,KEZDŐLAP!F25,0)</f>
        <v>0</v>
      </c>
      <c r="D18" s="33">
        <f>IF($Q$6=TRUE,KEZDŐLAP!F25,0)</f>
        <v>0</v>
      </c>
      <c r="E18" s="66">
        <f>IF(E19=0,0,KEZDŐLAP!F30)</f>
        <v>0</v>
      </c>
      <c r="F18" s="70"/>
      <c r="G18" s="70"/>
      <c r="H18" s="70"/>
      <c r="K18" s="2"/>
      <c r="L18" s="17"/>
      <c r="M18" s="17"/>
      <c r="N18" s="17"/>
      <c r="O18" s="17"/>
      <c r="P18" s="17"/>
    </row>
    <row r="19" spans="2:16" x14ac:dyDescent="0.25">
      <c r="B19" s="193" t="s">
        <v>88</v>
      </c>
      <c r="C19" s="285"/>
      <c r="D19" s="194"/>
      <c r="E19" s="33">
        <f>SUM(B18:D18)</f>
        <v>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  <mergeCell ref="B1:I1"/>
    <mergeCell ref="M1:P1"/>
    <mergeCell ref="B2:I2"/>
    <mergeCell ref="M3:P3"/>
    <mergeCell ref="M4:P4"/>
  </mergeCells>
  <conditionalFormatting sqref="B17:H17">
    <cfRule type="containsText" dxfId="49" priority="1" operator="containsText" text="Vizsga">
      <formula>NOT(ISERROR(SEARCH("Vizsga",B17)))</formula>
    </cfRule>
    <cfRule type="containsText" dxfId="48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8EFF-60DA-471C-B65A-1203E5134A78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8.42578125" customWidth="1"/>
    <col min="16" max="16" width="10.28515625" customWidth="1"/>
    <col min="17" max="17" width="2.28515625" customWidth="1"/>
    <col min="18" max="18" width="31" customWidth="1"/>
    <col min="19" max="19" width="1.85546875" customWidth="1"/>
    <col min="20" max="23" width="16.85546875" customWidth="1"/>
    <col min="24" max="24" width="1.42578125" customWidth="1"/>
  </cols>
  <sheetData>
    <row r="1" spans="1:24" x14ac:dyDescent="0.25">
      <c r="A1" s="26" t="s">
        <v>43</v>
      </c>
      <c r="B1" s="69"/>
      <c r="C1" s="69"/>
      <c r="D1" s="146" t="s">
        <v>176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R1" s="5" t="s">
        <v>1</v>
      </c>
      <c r="T1" s="146" t="s">
        <v>133</v>
      </c>
      <c r="U1" s="146"/>
      <c r="V1" s="146"/>
      <c r="W1" s="146"/>
    </row>
    <row r="2" spans="1:24" ht="13.5" customHeight="1" x14ac:dyDescent="0.25">
      <c r="B2" s="8"/>
      <c r="C2" s="8"/>
      <c r="D2" s="175" t="s">
        <v>123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R2" s="1"/>
      <c r="X2" s="64" t="b">
        <v>0</v>
      </c>
    </row>
    <row r="3" spans="1:24" ht="21.75" customHeight="1" x14ac:dyDescent="0.25">
      <c r="A3" s="51"/>
      <c r="B3" s="123"/>
      <c r="C3" s="12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48" t="str">
        <f>IF($P$19&gt;0,"A vizsgát megelőző 10 év során, legalább 8 hegymeneti és 8 völgymeneti út igazolt megtétele a teljes szakaszon (matróz vagy magasabb beosztásban, nagyhajón, vagy személyhajón teljesítve)
","")</f>
        <v/>
      </c>
      <c r="T3" s="174" t="str">
        <f>IF(P19=0,"","Írásos vizsgajelentkezési kérelem és okmányigénylés")</f>
        <v/>
      </c>
      <c r="U3" s="174"/>
      <c r="V3" s="174"/>
      <c r="W3" s="174"/>
      <c r="X3" s="64" t="b">
        <v>0</v>
      </c>
    </row>
    <row r="4" spans="1:24" ht="21.75" customHeight="1" x14ac:dyDescent="0.25">
      <c r="A4" s="51"/>
      <c r="B4" s="123"/>
      <c r="C4" s="12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48"/>
      <c r="T4" s="177"/>
      <c r="U4" s="177"/>
      <c r="V4" s="177"/>
      <c r="W4" s="177"/>
      <c r="X4" s="64" t="b">
        <v>0</v>
      </c>
    </row>
    <row r="5" spans="1:24" ht="21.75" customHeight="1" x14ac:dyDescent="0.25">
      <c r="A5" s="51"/>
      <c r="B5" s="123"/>
      <c r="C5" s="12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48"/>
      <c r="T5" s="177" t="str">
        <f>IF(P19=0,"","Személyazonosság igazolása")</f>
        <v/>
      </c>
      <c r="U5" s="177"/>
      <c r="V5" s="177"/>
      <c r="W5" s="177"/>
      <c r="X5" s="64" t="b">
        <v>0</v>
      </c>
    </row>
    <row r="6" spans="1:24" ht="21.75" customHeight="1" x14ac:dyDescent="0.25">
      <c r="A6" s="51"/>
      <c r="B6" s="123"/>
      <c r="C6" s="12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48"/>
      <c r="T6" s="174" t="str">
        <f>IF(P19=0,"","Érvényes, a bizonyítvány igénylésének napját megelőző 3 hónapon belül kiállított, fedélzeti szolgálatra szóló egészségi alkalmasság igazolása")</f>
        <v/>
      </c>
      <c r="U6" s="174"/>
      <c r="V6" s="174"/>
      <c r="W6" s="174"/>
      <c r="X6" s="64" t="b">
        <v>0</v>
      </c>
    </row>
    <row r="7" spans="1:24" ht="21.75" customHeight="1" x14ac:dyDescent="0.25">
      <c r="A7" s="51"/>
      <c r="B7" s="123"/>
      <c r="C7" s="12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48"/>
      <c r="T7" s="174"/>
      <c r="U7" s="174"/>
      <c r="V7" s="174"/>
      <c r="W7" s="174"/>
      <c r="X7" s="64" t="b">
        <v>0</v>
      </c>
    </row>
    <row r="8" spans="1:24" ht="21.75" customHeight="1" x14ac:dyDescent="0.25">
      <c r="A8" s="51"/>
      <c r="B8" s="123"/>
      <c r="C8" s="12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48"/>
      <c r="T8" s="174" t="str">
        <f>IF(P19=0,"","UNIÓS hajóvezetői bizonyítvány megléte, vagy 
A vagy B vagy C kategóriájú hajóvezetői képesítés megléte, vagy
a hajóvezetők számára szükséges uniós képesítő bizonyítványok megszerzéséhez a jogszabály által meghatározott minimumkövetelményeket teljesítése.")</f>
        <v/>
      </c>
      <c r="U8" s="174"/>
      <c r="V8" s="174"/>
      <c r="W8" s="174"/>
      <c r="X8" s="64" t="b">
        <v>0</v>
      </c>
    </row>
    <row r="9" spans="1:24" ht="21.75" customHeight="1" x14ac:dyDescent="0.25">
      <c r="A9" s="51"/>
      <c r="B9" s="123"/>
      <c r="C9" s="12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228" t="str">
        <f>IF($P$19&gt;0,"A 8 hegymeneti és 8 völgymeneti útból legalább hármat a vizsgát megelőző 3 évben kell megtenni
","")</f>
        <v/>
      </c>
      <c r="T9" s="174"/>
      <c r="U9" s="174"/>
      <c r="V9" s="174"/>
      <c r="W9" s="174"/>
      <c r="X9" s="64"/>
    </row>
    <row r="10" spans="1:24" ht="21.75" customHeight="1" x14ac:dyDescent="0.25">
      <c r="A10" s="51"/>
      <c r="B10" s="123"/>
      <c r="C10" s="1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228"/>
      <c r="T10" s="174"/>
      <c r="U10" s="174"/>
      <c r="V10" s="174"/>
      <c r="W10" s="174"/>
      <c r="X10" s="64"/>
    </row>
    <row r="11" spans="1:24" ht="21.75" customHeight="1" x14ac:dyDescent="0.25">
      <c r="A11" s="51"/>
      <c r="B11" s="123"/>
      <c r="C11" s="12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228"/>
      <c r="T11" s="174"/>
      <c r="U11" s="174"/>
      <c r="V11" s="174"/>
      <c r="W11" s="174"/>
      <c r="X11" s="64" t="b">
        <v>0</v>
      </c>
    </row>
    <row r="12" spans="1:24" ht="21.75" customHeight="1" x14ac:dyDescent="0.25">
      <c r="A12" s="51"/>
      <c r="B12" s="123"/>
      <c r="C12" s="12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228"/>
      <c r="T12" s="177" t="str">
        <f>IF(P19=0,"","2 db színes igazolványkép")</f>
        <v/>
      </c>
      <c r="U12" s="177"/>
      <c r="V12" s="177"/>
      <c r="W12" s="177"/>
      <c r="X12" s="64" t="b">
        <v>0</v>
      </c>
    </row>
    <row r="13" spans="1:24" ht="21.75" customHeight="1" x14ac:dyDescent="0.25">
      <c r="A13" s="51"/>
      <c r="B13" s="123"/>
      <c r="C13" s="12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28"/>
      <c r="T13" s="174" t="str">
        <f>IF(P19=0,"","Díj befizetésének igazolása")</f>
        <v/>
      </c>
      <c r="U13" s="174"/>
      <c r="V13" s="174"/>
      <c r="W13" s="174"/>
      <c r="X13" s="64"/>
    </row>
    <row r="14" spans="1:24" ht="8.25" customHeight="1" x14ac:dyDescent="0.25">
      <c r="T14" s="195"/>
      <c r="U14" s="195"/>
      <c r="V14" s="195"/>
      <c r="W14" s="195"/>
    </row>
    <row r="15" spans="1:24" x14ac:dyDescent="0.25">
      <c r="B15" s="195" t="s">
        <v>128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288"/>
      <c r="R15" s="1" t="s">
        <v>119</v>
      </c>
      <c r="T15" s="197" t="s">
        <v>132</v>
      </c>
      <c r="U15" s="197"/>
      <c r="V15" s="197"/>
      <c r="W15" s="197"/>
    </row>
    <row r="16" spans="1:24" s="2" customFormat="1" ht="139.5" customHeight="1" x14ac:dyDescent="0.25">
      <c r="B16" s="3" t="s">
        <v>280</v>
      </c>
      <c r="C16" s="3" t="s">
        <v>281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183</v>
      </c>
      <c r="K16" s="3" t="s">
        <v>184</v>
      </c>
      <c r="L16" s="3" t="s">
        <v>185</v>
      </c>
      <c r="M16" s="3" t="s">
        <v>186</v>
      </c>
      <c r="N16" s="3" t="s">
        <v>187</v>
      </c>
      <c r="O16" s="3" t="s">
        <v>188</v>
      </c>
      <c r="P16" s="3" t="s">
        <v>84</v>
      </c>
      <c r="R16" s="43">
        <f>SUM(P18:P19)</f>
        <v>0</v>
      </c>
      <c r="S16" s="17"/>
      <c r="T16" s="286" t="s">
        <v>130</v>
      </c>
      <c r="U16" s="286"/>
      <c r="V16" s="286"/>
      <c r="W16" s="286"/>
    </row>
    <row r="17" spans="2:23" s="2" customFormat="1" ht="15.75" customHeight="1" x14ac:dyDescent="0.25">
      <c r="B17" s="124" t="str">
        <f t="shared" ref="B17:C17" si="0">IF(B18&lt;&gt;0,"Vizsga","")</f>
        <v/>
      </c>
      <c r="C17" s="124" t="str">
        <f t="shared" si="0"/>
        <v/>
      </c>
      <c r="D17" s="124" t="str">
        <f>IF(D18&lt;&gt;0,"Vizsga","")</f>
        <v/>
      </c>
      <c r="E17" s="124" t="str">
        <f>IF(E18&lt;&gt;0,"Vizsga","")</f>
        <v/>
      </c>
      <c r="F17" s="124" t="str">
        <f t="shared" ref="F17:O17" si="1">IF(F18&lt;&gt;0,"Vizsga","")</f>
        <v/>
      </c>
      <c r="G17" s="124" t="str">
        <f t="shared" si="1"/>
        <v/>
      </c>
      <c r="H17" s="124" t="str">
        <f t="shared" si="1"/>
        <v/>
      </c>
      <c r="I17" s="124" t="str">
        <f t="shared" si="1"/>
        <v/>
      </c>
      <c r="J17" s="124" t="str">
        <f t="shared" si="1"/>
        <v/>
      </c>
      <c r="K17" s="124" t="str">
        <f t="shared" si="1"/>
        <v/>
      </c>
      <c r="L17" s="124" t="str">
        <f t="shared" si="1"/>
        <v/>
      </c>
      <c r="M17" s="124" t="str">
        <f t="shared" si="1"/>
        <v/>
      </c>
      <c r="N17" s="124" t="str">
        <f t="shared" si="1"/>
        <v/>
      </c>
      <c r="O17" s="124" t="str">
        <f t="shared" si="1"/>
        <v/>
      </c>
      <c r="P17" s="42" t="s">
        <v>85</v>
      </c>
      <c r="S17" s="17"/>
      <c r="T17" s="17"/>
      <c r="U17" s="17"/>
      <c r="V17" s="17"/>
      <c r="W17" s="17"/>
    </row>
    <row r="18" spans="2:23" s="1" customFormat="1" x14ac:dyDescent="0.25">
      <c r="B18" s="125">
        <f>IF($X$2=TRUE,KEZDŐLAP!F25,0)</f>
        <v>0</v>
      </c>
      <c r="C18" s="125">
        <f>IF($X$3=TRUE,KEZDŐLAP!F25,0)</f>
        <v>0</v>
      </c>
      <c r="D18" s="125">
        <f>IF($X$4=TRUE,KEZDŐLAP!F25,0)</f>
        <v>0</v>
      </c>
      <c r="E18" s="125">
        <f>IF($X$4=TRUE,KEZDŐLAP!F26,0)</f>
        <v>0</v>
      </c>
      <c r="F18" s="125">
        <f>IF($X$5=TRUE,KEZDŐLAP!F25,0)</f>
        <v>0</v>
      </c>
      <c r="G18" s="125">
        <f>IF($X$5=TRUE,KEZDŐLAP!F26,0)</f>
        <v>0</v>
      </c>
      <c r="H18" s="125">
        <f>IF($X$6=TRUE,KEZDŐLAP!F25,0)</f>
        <v>0</v>
      </c>
      <c r="I18" s="125">
        <f>IF($X$6=TRUE,KEZDŐLAP!F26,0)</f>
        <v>0</v>
      </c>
      <c r="J18" s="125">
        <f>IF($X$7=TRUE,KEZDŐLAP!F25,0)</f>
        <v>0</v>
      </c>
      <c r="K18" s="125">
        <f>IF($X$7=TRUE,KEZDŐLAP!F26,0)</f>
        <v>0</v>
      </c>
      <c r="L18" s="125">
        <f>IF($X$8=TRUE,KEZDŐLAP!F25,0)</f>
        <v>0</v>
      </c>
      <c r="M18" s="125">
        <f>IF($X$8=TRUE,KEZDŐLAP!F26,0)</f>
        <v>0</v>
      </c>
      <c r="N18" s="125">
        <f>IF($X$11=TRUE,KEZDŐLAP!F25,0)</f>
        <v>0</v>
      </c>
      <c r="O18" s="125">
        <f>IF($X$12=TRUE,KEZDŐLAP!F25,0)</f>
        <v>0</v>
      </c>
      <c r="P18" s="66">
        <f>IF(P19=0,0,KEZDŐLAP!F30)</f>
        <v>0</v>
      </c>
      <c r="R18" s="2"/>
      <c r="S18" s="17"/>
      <c r="T18" s="17"/>
      <c r="U18" s="17"/>
      <c r="V18" s="17"/>
      <c r="W18" s="17"/>
    </row>
    <row r="19" spans="2:23" x14ac:dyDescent="0.25">
      <c r="B19" s="287" t="s">
        <v>88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3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selectLockedCells="1"/>
  <protectedRanges>
    <protectedRange password="EFFA" sqref="S3:W4 X3:X13 R9 S15:W15 P1:W1 Q2:X2 D16:D18 Q17:R18 R16 U6:W10 R14 T6 T12:W14 T8:T10 S5:S14 P13:Q15 D3:O12 D13:D14 A14:C18 E13:N18 P3:Q12 D1:N1 O13:O18 O1" name="Tartomány1"/>
    <protectedRange password="EFFA" sqref="R3:R8 R10:R12" name="Tartomány1_2"/>
    <protectedRange password="EFFA" sqref="T5:W5" name="Tartomány1_1"/>
    <protectedRange password="EFFA" sqref="A1:C1" name="Tartomány1_3"/>
    <protectedRange password="EFFA" sqref="P2 D2:N2 O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D1:P1"/>
    <mergeCell ref="T1:W1"/>
    <mergeCell ref="D2:P2"/>
    <mergeCell ref="R3:R8"/>
    <mergeCell ref="T3:W3"/>
    <mergeCell ref="T4:W4"/>
    <mergeCell ref="T5:W5"/>
    <mergeCell ref="T6:W7"/>
    <mergeCell ref="T8:W11"/>
    <mergeCell ref="R9:R13"/>
    <mergeCell ref="B19:O19"/>
    <mergeCell ref="T12:W12"/>
    <mergeCell ref="T13:W13"/>
    <mergeCell ref="T14:W14"/>
    <mergeCell ref="B15:P15"/>
    <mergeCell ref="T15:W15"/>
    <mergeCell ref="T16:W16"/>
  </mergeCells>
  <conditionalFormatting sqref="B17:P17">
    <cfRule type="containsText" dxfId="47" priority="1" operator="containsText" text="Vizsga">
      <formula>NOT(ISERROR(SEARCH("Vizsga",B17)))</formula>
    </cfRule>
    <cfRule type="containsText" dxfId="46" priority="2" operator="containsText" text="&quot;Vizsga&quot;">
      <formula>NOT(ISERROR(SEARCH("""Vizsga""",B17)))</formula>
    </cfRule>
  </conditionalFormatting>
  <hyperlinks>
    <hyperlink ref="A1" location="KEZDŐLAP!A1" display="X" xr:uid="{1E4ACE86-B370-4349-ACC8-FB16B3E4B10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6</xdr:row>
                    <xdr:rowOff>209550</xdr:rowOff>
                  </from>
                  <to>
                    <xdr:col>10</xdr:col>
                    <xdr:colOff>104775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Check Box 2">
              <controlPr defaultSize="0" autoFill="0" autoLine="0" autoPict="0">
                <anchor moveWithCells="1">
                  <from>
                    <xdr:col>3</xdr:col>
                    <xdr:colOff>447675</xdr:colOff>
                    <xdr:row>5</xdr:row>
                    <xdr:rowOff>200025</xdr:rowOff>
                  </from>
                  <to>
                    <xdr:col>10</xdr:col>
                    <xdr:colOff>66675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180975</xdr:rowOff>
                  </from>
                  <to>
                    <xdr:col>10</xdr:col>
                    <xdr:colOff>142875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7</xdr:row>
                    <xdr:rowOff>247650</xdr:rowOff>
                  </from>
                  <to>
                    <xdr:col>10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Check Box 5">
              <controlPr defaultSize="0" autoFill="0" autoLine="0" autoPict="0">
                <anchor moveWithCells="1">
                  <from>
                    <xdr:col>3</xdr:col>
                    <xdr:colOff>447675</xdr:colOff>
                    <xdr:row>8</xdr:row>
                    <xdr:rowOff>257175</xdr:rowOff>
                  </from>
                  <to>
                    <xdr:col>10</xdr:col>
                    <xdr:colOff>66675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Check Box 6">
              <controlPr defaultSize="0" autoFill="0" autoLine="0" autoPict="0">
                <anchor moveWithCells="1">
                  <from>
                    <xdr:col>3</xdr:col>
                    <xdr:colOff>447675</xdr:colOff>
                    <xdr:row>10</xdr:row>
                    <xdr:rowOff>209550</xdr:rowOff>
                  </from>
                  <to>
                    <xdr:col>10</xdr:col>
                    <xdr:colOff>66675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Check Box 7">
              <controlPr defaultSize="0" autoFill="0" autoLine="0" autoPict="0">
                <anchor moveWithCells="1">
                  <from>
                    <xdr:col>3</xdr:col>
                    <xdr:colOff>447675</xdr:colOff>
                    <xdr:row>11</xdr:row>
                    <xdr:rowOff>257175</xdr:rowOff>
                  </from>
                  <to>
                    <xdr:col>10</xdr:col>
                    <xdr:colOff>66675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</xdr:row>
                    <xdr:rowOff>161925</xdr:rowOff>
                  </from>
                  <to>
                    <xdr:col>10</xdr:col>
                    <xdr:colOff>142875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Check Box 9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171450</xdr:rowOff>
                  </from>
                  <to>
                    <xdr:col>10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CC8F-6479-4894-83B9-718B73359ACD}">
  <sheetPr>
    <tabColor rgb="FFFFC000"/>
  </sheetPr>
  <dimension ref="A1:R24"/>
  <sheetViews>
    <sheetView workbookViewId="0"/>
  </sheetViews>
  <sheetFormatPr defaultRowHeight="15" x14ac:dyDescent="0.25"/>
  <cols>
    <col min="1" max="1" width="3.42578125" customWidth="1"/>
    <col min="2" max="9" width="7.7109375" customWidth="1"/>
    <col min="10" max="10" width="10" customWidth="1"/>
    <col min="11" max="11" width="3.5703125" customWidth="1"/>
    <col min="12" max="12" width="31.7109375" customWidth="1"/>
    <col min="13" max="13" width="3.140625" customWidth="1"/>
    <col min="14" max="17" width="19.7109375" customWidth="1"/>
    <col min="18" max="18" width="1.5703125" customWidth="1"/>
  </cols>
  <sheetData>
    <row r="1" spans="1:18" x14ac:dyDescent="0.25">
      <c r="A1" s="26" t="s">
        <v>43</v>
      </c>
      <c r="B1" s="146" t="s">
        <v>255</v>
      </c>
      <c r="C1" s="146"/>
      <c r="D1" s="146"/>
      <c r="E1" s="146"/>
      <c r="F1" s="146"/>
      <c r="G1" s="146"/>
      <c r="H1" s="146"/>
      <c r="I1" s="146"/>
      <c r="J1" s="146"/>
      <c r="L1" s="5" t="s">
        <v>1</v>
      </c>
      <c r="N1" s="146" t="s">
        <v>133</v>
      </c>
      <c r="O1" s="146"/>
      <c r="P1" s="146"/>
      <c r="Q1" s="146"/>
    </row>
    <row r="2" spans="1:18" ht="13.5" customHeight="1" x14ac:dyDescent="0.25">
      <c r="B2" s="175" t="s">
        <v>123</v>
      </c>
      <c r="C2" s="175"/>
      <c r="D2" s="175"/>
      <c r="E2" s="175"/>
      <c r="F2" s="175"/>
      <c r="G2" s="175"/>
      <c r="H2" s="175"/>
      <c r="I2" s="175"/>
      <c r="J2" s="175"/>
      <c r="L2" s="1"/>
      <c r="R2" s="24"/>
    </row>
    <row r="3" spans="1:18" ht="21.75" customHeight="1" x14ac:dyDescent="0.25">
      <c r="B3" s="8"/>
      <c r="C3" s="8"/>
      <c r="D3" s="8"/>
      <c r="E3" s="8"/>
      <c r="F3" s="8"/>
      <c r="G3" s="8"/>
      <c r="H3" s="8"/>
      <c r="I3" s="8"/>
      <c r="J3" s="8"/>
      <c r="L3" s="148" t="s">
        <v>254</v>
      </c>
      <c r="N3" s="174" t="str">
        <f>IF(J19=0,"","Írásos vizsgajelentkezési kérelem és okmányigénylés")</f>
        <v/>
      </c>
      <c r="O3" s="174"/>
      <c r="P3" s="174"/>
      <c r="Q3" s="174"/>
      <c r="R3" s="64"/>
    </row>
    <row r="4" spans="1:18" ht="43.5" customHeight="1" x14ac:dyDescent="0.25">
      <c r="B4" s="289" t="s">
        <v>265</v>
      </c>
      <c r="C4" s="289"/>
      <c r="D4" s="289"/>
      <c r="E4" s="289"/>
      <c r="F4" s="289"/>
      <c r="G4" s="289"/>
      <c r="H4" s="289"/>
      <c r="I4" s="289"/>
      <c r="J4" s="289"/>
      <c r="L4" s="148"/>
      <c r="N4" s="174" t="s">
        <v>252</v>
      </c>
      <c r="O4" s="174"/>
      <c r="P4" s="174"/>
      <c r="Q4" s="174"/>
      <c r="R4" s="64" t="b">
        <v>0</v>
      </c>
    </row>
    <row r="5" spans="1:18" ht="21.75" customHeight="1" x14ac:dyDescent="0.25">
      <c r="B5" s="8"/>
      <c r="C5" s="8"/>
      <c r="D5" s="8"/>
      <c r="E5" s="8"/>
      <c r="F5" s="8"/>
      <c r="G5" s="8"/>
      <c r="H5" s="8"/>
      <c r="I5" s="8"/>
      <c r="J5" s="8"/>
      <c r="L5" s="148"/>
      <c r="N5" s="177" t="str">
        <f>IF(J19=0,"","Személyazonosság igazolása")</f>
        <v/>
      </c>
      <c r="O5" s="177"/>
      <c r="P5" s="177"/>
      <c r="Q5" s="177"/>
      <c r="R5" s="64" t="b">
        <v>0</v>
      </c>
    </row>
    <row r="6" spans="1:18" ht="21.75" customHeight="1" x14ac:dyDescent="0.25">
      <c r="B6" s="8"/>
      <c r="C6" s="8"/>
      <c r="D6" s="8"/>
      <c r="E6" s="8"/>
      <c r="F6" s="8"/>
      <c r="G6" s="8"/>
      <c r="H6" s="8"/>
      <c r="I6" s="8"/>
      <c r="J6" s="8"/>
      <c r="L6" s="148"/>
      <c r="N6" s="174" t="str">
        <f>IF(J19=0,"","Érvényes, a bizonyítvány igénylésének napját megelőző 3 hónapon belül kiállított, fedélzeti szolgálatra szóló egészségi alkalmasság igazolása")</f>
        <v/>
      </c>
      <c r="O6" s="174"/>
      <c r="P6" s="174"/>
      <c r="Q6" s="174"/>
      <c r="R6" s="64" t="b">
        <v>0</v>
      </c>
    </row>
    <row r="7" spans="1:18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L7" s="148"/>
      <c r="N7" s="174"/>
      <c r="O7" s="174"/>
      <c r="P7" s="174"/>
      <c r="Q7" s="174"/>
      <c r="R7" s="64" t="b">
        <v>0</v>
      </c>
    </row>
    <row r="8" spans="1:18" ht="21.75" customHeight="1" x14ac:dyDescent="0.25">
      <c r="B8" s="8"/>
      <c r="C8" s="8"/>
      <c r="D8" s="8"/>
      <c r="E8" s="8"/>
      <c r="F8" s="8"/>
      <c r="G8" s="8"/>
      <c r="H8" s="8"/>
      <c r="I8" s="8"/>
      <c r="J8" s="8"/>
      <c r="L8" s="148"/>
      <c r="N8" s="174" t="str">
        <f>IF(J19=0,"","UNIÓS hajóvezetői bizonyítvány megléte, vagy 
A vagy B kategóriájú hajóvezetői bizonyítvány megléte")</f>
        <v/>
      </c>
      <c r="O8" s="174"/>
      <c r="P8" s="174"/>
      <c r="Q8" s="174"/>
      <c r="R8" s="64" t="b">
        <v>0</v>
      </c>
    </row>
    <row r="9" spans="1:18" ht="21.7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28"/>
      <c r="N9" s="174"/>
      <c r="O9" s="174"/>
      <c r="P9" s="174"/>
      <c r="Q9" s="174"/>
      <c r="R9" s="64" t="b">
        <v>0</v>
      </c>
    </row>
    <row r="10" spans="1:18" ht="21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9"/>
      <c r="L10" s="228"/>
      <c r="N10" s="174"/>
      <c r="O10" s="174"/>
      <c r="P10" s="174"/>
      <c r="Q10" s="174"/>
      <c r="R10" s="64" t="b">
        <v>0</v>
      </c>
    </row>
    <row r="11" spans="1:18" ht="21.7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L11" s="228"/>
      <c r="N11" s="174"/>
      <c r="O11" s="174"/>
      <c r="P11" s="174"/>
      <c r="Q11" s="174"/>
      <c r="R11" s="64" t="b">
        <v>0</v>
      </c>
    </row>
    <row r="12" spans="1:18" ht="21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L12" s="228"/>
      <c r="N12" s="177" t="str">
        <f>IF(J19=0,"","2 db színes igazolványkép")</f>
        <v/>
      </c>
      <c r="O12" s="177"/>
      <c r="P12" s="177"/>
      <c r="Q12" s="177"/>
      <c r="R12" s="64"/>
    </row>
    <row r="13" spans="1:18" ht="21.7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28"/>
      <c r="N13" s="174" t="str">
        <f>IF(J19=0,"","Díj befizetésének igazolása")</f>
        <v/>
      </c>
      <c r="O13" s="174"/>
      <c r="P13" s="174"/>
      <c r="Q13" s="174"/>
      <c r="R13" s="64"/>
    </row>
    <row r="14" spans="1:18" ht="8.25" customHeight="1" x14ac:dyDescent="0.25">
      <c r="N14" s="195"/>
      <c r="O14" s="195"/>
      <c r="P14" s="195"/>
      <c r="Q14" s="195"/>
    </row>
    <row r="15" spans="1:18" x14ac:dyDescent="0.25">
      <c r="B15" s="157" t="s">
        <v>128</v>
      </c>
      <c r="C15" s="157"/>
      <c r="D15" s="157"/>
      <c r="E15" s="157"/>
      <c r="F15" s="157"/>
      <c r="G15" s="157"/>
      <c r="H15" s="157"/>
      <c r="I15" s="157"/>
      <c r="J15" s="44"/>
      <c r="L15" s="1" t="s">
        <v>119</v>
      </c>
      <c r="N15" s="197" t="s">
        <v>132</v>
      </c>
      <c r="O15" s="197"/>
      <c r="P15" s="197"/>
      <c r="Q15" s="197"/>
    </row>
    <row r="16" spans="1:18" s="2" customFormat="1" ht="124.5" customHeight="1" x14ac:dyDescent="0.25">
      <c r="B16" s="3" t="s">
        <v>256</v>
      </c>
      <c r="C16" s="3" t="s">
        <v>257</v>
      </c>
      <c r="D16" s="3" t="s">
        <v>258</v>
      </c>
      <c r="E16" s="3" t="s">
        <v>259</v>
      </c>
      <c r="F16" s="3" t="s">
        <v>260</v>
      </c>
      <c r="G16" s="3" t="s">
        <v>261</v>
      </c>
      <c r="H16" s="3" t="s">
        <v>262</v>
      </c>
      <c r="I16" s="3" t="s">
        <v>263</v>
      </c>
      <c r="J16" s="3" t="s">
        <v>84</v>
      </c>
      <c r="L16" s="43">
        <f>SUM(J18:J19)</f>
        <v>0</v>
      </c>
      <c r="M16" s="17"/>
      <c r="N16" s="286" t="s">
        <v>264</v>
      </c>
      <c r="O16" s="286"/>
      <c r="P16" s="286"/>
      <c r="Q16" s="286"/>
    </row>
    <row r="17" spans="2:17" s="2" customFormat="1" ht="15.75" customHeight="1" x14ac:dyDescent="0.25">
      <c r="B17" s="6" t="str">
        <f>IF(B18&lt;&gt;0,"Vizsga","")</f>
        <v/>
      </c>
      <c r="C17" s="6" t="str">
        <f t="shared" ref="C17:I17" si="0">IF(C18&lt;&gt;0,"Vizsga","")</f>
        <v/>
      </c>
      <c r="D17" s="6" t="str">
        <f t="shared" si="0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42" t="s">
        <v>85</v>
      </c>
      <c r="M17" s="17"/>
      <c r="N17" s="17"/>
      <c r="O17" s="17"/>
      <c r="P17" s="17"/>
      <c r="Q17" s="17"/>
    </row>
    <row r="18" spans="2:17" s="1" customFormat="1" x14ac:dyDescent="0.25">
      <c r="B18" s="109">
        <f>IF($R$4=TRUE,KEZDŐLAP!$F$26,0)</f>
        <v>0</v>
      </c>
      <c r="C18" s="109">
        <f>IF($R$5=TRUE,KEZDŐLAP!$F$26,0)</f>
        <v>0</v>
      </c>
      <c r="D18" s="109">
        <f>IF($R$6=TRUE,KEZDŐLAP!$F$26,0)</f>
        <v>0</v>
      </c>
      <c r="E18" s="109">
        <f>IF($R$7=TRUE,KEZDŐLAP!$F$26,0)</f>
        <v>0</v>
      </c>
      <c r="F18" s="109">
        <f>IF($R$8=TRUE,KEZDŐLAP!$F$26,0)</f>
        <v>0</v>
      </c>
      <c r="G18" s="109">
        <f>IF($R$9=TRUE,KEZDŐLAP!$F$26,0)</f>
        <v>0</v>
      </c>
      <c r="H18" s="109">
        <f>IF($R$10=TRUE,KEZDŐLAP!$F$26,0)</f>
        <v>0</v>
      </c>
      <c r="I18" s="109">
        <f>IF($R$11=TRUE,KEZDŐLAP!$F$26,0)</f>
        <v>0</v>
      </c>
      <c r="J18" s="66">
        <f>IF(J19=0,0,KEZDŐLAP!F30)</f>
        <v>0</v>
      </c>
      <c r="L18" s="2"/>
      <c r="M18" s="17"/>
      <c r="N18" s="17"/>
      <c r="O18" s="17"/>
      <c r="P18" s="17"/>
      <c r="Q18" s="17"/>
    </row>
    <row r="19" spans="2:17" x14ac:dyDescent="0.25">
      <c r="B19" s="287" t="s">
        <v>88</v>
      </c>
      <c r="C19" s="287"/>
      <c r="D19" s="287"/>
      <c r="E19" s="287"/>
      <c r="F19" s="287"/>
      <c r="G19" s="287"/>
      <c r="H19" s="287"/>
      <c r="I19" s="287"/>
      <c r="J19" s="33">
        <f>SUM(B18:I18)</f>
        <v>0</v>
      </c>
      <c r="M19" s="17"/>
      <c r="N19" s="17"/>
      <c r="O19" s="17"/>
      <c r="P19" s="17"/>
      <c r="Q19" s="17"/>
    </row>
    <row r="20" spans="2:17" x14ac:dyDescent="0.25">
      <c r="M20" s="17"/>
      <c r="N20" s="17"/>
      <c r="O20" s="17"/>
      <c r="P20" s="17"/>
      <c r="Q20" s="17"/>
    </row>
    <row r="21" spans="2:17" x14ac:dyDescent="0.25">
      <c r="M21" s="17"/>
      <c r="N21" s="17"/>
      <c r="O21" s="17"/>
      <c r="P21" s="17"/>
      <c r="Q21" s="17"/>
    </row>
    <row r="22" spans="2:17" x14ac:dyDescent="0.25">
      <c r="M22" s="17"/>
      <c r="N22" s="17"/>
      <c r="O22" s="17"/>
      <c r="P22" s="17"/>
      <c r="Q22" s="17"/>
    </row>
    <row r="23" spans="2:17" x14ac:dyDescent="0.25">
      <c r="M23" s="17"/>
      <c r="N23" s="17"/>
      <c r="O23" s="17"/>
      <c r="P23" s="17"/>
      <c r="Q23" s="17"/>
    </row>
    <row r="24" spans="2:17" x14ac:dyDescent="0.25">
      <c r="M24" s="17"/>
      <c r="N24" s="17"/>
      <c r="O24" s="17"/>
      <c r="P24" s="17"/>
      <c r="Q24" s="17"/>
    </row>
  </sheetData>
  <sheetProtection sheet="1" selectLockedCells="1"/>
  <protectedRanges>
    <protectedRange password="EFFA" sqref="M3:Q4 R3:R13 L9 M15:Q15 B1:Q1 K2:R2 A14:A18 B3:K12 K17:L18 L16 B13:D15 O6:Q10 L14 N6 N12:Q14 N8:N10 M5:M14 K13:K15 E13:J14 F15:J15 B16:I18" name="Tartomány1"/>
    <protectedRange password="EFFA" sqref="L3:L8 L10:L12" name="Tartomány1_2"/>
    <protectedRange password="EFFA" sqref="N5:Q5" name="Tartomány1_1"/>
    <protectedRange password="EFFA" sqref="A1" name="Tartomány1_3"/>
    <protectedRange password="EFFA" sqref="B2:J2" name="Tartomány1_4"/>
    <protectedRange password="EFFA" sqref="J16:J18" name="Tartomány1_5"/>
    <protectedRange password="EFFA" sqref="L15" name="Tartomány1_6"/>
    <protectedRange password="EFFA" sqref="M16:P18" name="Tartomány1_2_1"/>
  </protectedRanges>
  <mergeCells count="18">
    <mergeCell ref="N14:Q14"/>
    <mergeCell ref="N15:Q15"/>
    <mergeCell ref="N16:Q16"/>
    <mergeCell ref="B15:I15"/>
    <mergeCell ref="B19:I19"/>
    <mergeCell ref="B1:J1"/>
    <mergeCell ref="N1:Q1"/>
    <mergeCell ref="B2:J2"/>
    <mergeCell ref="L3:L8"/>
    <mergeCell ref="N3:Q3"/>
    <mergeCell ref="N4:Q4"/>
    <mergeCell ref="N5:Q5"/>
    <mergeCell ref="N6:Q7"/>
    <mergeCell ref="N8:Q11"/>
    <mergeCell ref="L9:L13"/>
    <mergeCell ref="N12:Q12"/>
    <mergeCell ref="N13:Q13"/>
    <mergeCell ref="B4:J4"/>
  </mergeCells>
  <conditionalFormatting sqref="B17:J17">
    <cfRule type="containsText" dxfId="45" priority="1" operator="containsText" text="Vizsga">
      <formula>NOT(ISERROR(SEARCH("Vizsga",B17)))</formula>
    </cfRule>
    <cfRule type="containsText" dxfId="44" priority="2" operator="containsText" text="&quot;Vizsga&quot;">
      <formula>NOT(ISERROR(SEARCH("""Vizsga""",B17)))</formula>
    </cfRule>
  </conditionalFormatting>
  <hyperlinks>
    <hyperlink ref="A1" location="KEZDŐLAP!A1" display="X" xr:uid="{6425F8B9-07C1-4E99-93F2-65EFA84FC93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3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8</xdr:col>
                    <xdr:colOff>466725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5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238125</xdr:rowOff>
                  </from>
                  <to>
                    <xdr:col>8</xdr:col>
                    <xdr:colOff>466725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8</xdr:col>
                    <xdr:colOff>466725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7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190500</xdr:rowOff>
                  </from>
                  <to>
                    <xdr:col>8</xdr:col>
                    <xdr:colOff>466725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8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466725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9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161925</xdr:rowOff>
                  </from>
                  <to>
                    <xdr:col>8</xdr:col>
                    <xdr:colOff>466725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142875</xdr:rowOff>
                  </from>
                  <to>
                    <xdr:col>8</xdr:col>
                    <xdr:colOff>466725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1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8</xdr:col>
                    <xdr:colOff>466725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1DFE-534A-48DD-91F0-FD85A42C4952}">
  <sheetPr>
    <tabColor rgb="FFFFC000"/>
  </sheetPr>
  <dimension ref="A1:L24"/>
  <sheetViews>
    <sheetView workbookViewId="0"/>
  </sheetViews>
  <sheetFormatPr defaultRowHeight="15" x14ac:dyDescent="0.25"/>
  <cols>
    <col min="1" max="1" width="3.42578125" customWidth="1"/>
    <col min="2" max="2" width="38.5703125" customWidth="1"/>
    <col min="3" max="3" width="18" customWidth="1"/>
    <col min="4" max="4" width="10" customWidth="1"/>
    <col min="5" max="5" width="3.5703125" customWidth="1"/>
    <col min="6" max="6" width="31.7109375" customWidth="1"/>
    <col min="7" max="7" width="3.140625" customWidth="1"/>
    <col min="8" max="11" width="19.7109375" customWidth="1"/>
    <col min="12" max="12" width="1.5703125" customWidth="1"/>
  </cols>
  <sheetData>
    <row r="1" spans="1:12" x14ac:dyDescent="0.25">
      <c r="A1" s="26" t="s">
        <v>43</v>
      </c>
      <c r="B1" s="146" t="s">
        <v>255</v>
      </c>
      <c r="C1" s="146"/>
      <c r="D1" s="146"/>
      <c r="F1" s="5" t="s">
        <v>1</v>
      </c>
      <c r="H1" s="146" t="s">
        <v>133</v>
      </c>
      <c r="I1" s="146"/>
      <c r="J1" s="146"/>
      <c r="K1" s="146"/>
    </row>
    <row r="2" spans="1:12" ht="13.5" customHeight="1" x14ac:dyDescent="0.25">
      <c r="B2" s="175" t="s">
        <v>123</v>
      </c>
      <c r="C2" s="175"/>
      <c r="D2" s="175"/>
      <c r="F2" s="1"/>
      <c r="L2" s="24"/>
    </row>
    <row r="3" spans="1:12" ht="21.75" customHeight="1" x14ac:dyDescent="0.25">
      <c r="B3" s="8"/>
      <c r="C3" s="8"/>
      <c r="D3" s="8"/>
      <c r="F3" s="148" t="s">
        <v>254</v>
      </c>
      <c r="H3" s="174" t="str">
        <f>IF(D19=0,"","Írásos vizsgajelentkezési kérelem és okmányigénylés")</f>
        <v/>
      </c>
      <c r="I3" s="174"/>
      <c r="J3" s="174"/>
      <c r="K3" s="174"/>
      <c r="L3" s="64"/>
    </row>
    <row r="4" spans="1:12" ht="43.5" customHeight="1" x14ac:dyDescent="0.25">
      <c r="B4" s="289"/>
      <c r="C4" s="289"/>
      <c r="D4" s="289"/>
      <c r="F4" s="148"/>
      <c r="H4" s="174" t="s">
        <v>252</v>
      </c>
      <c r="I4" s="174"/>
      <c r="J4" s="174"/>
      <c r="K4" s="174"/>
      <c r="L4" s="64" t="b">
        <v>0</v>
      </c>
    </row>
    <row r="5" spans="1:12" ht="21.75" customHeight="1" x14ac:dyDescent="0.25">
      <c r="B5" s="8"/>
      <c r="C5" s="8"/>
      <c r="D5" s="8"/>
      <c r="F5" s="148"/>
      <c r="H5" s="177" t="str">
        <f>IF(D19=0,"","Személyazonosság igazolása")</f>
        <v/>
      </c>
      <c r="I5" s="177"/>
      <c r="J5" s="177"/>
      <c r="K5" s="177"/>
      <c r="L5" s="64" t="b">
        <v>0</v>
      </c>
    </row>
    <row r="6" spans="1:12" ht="21.75" customHeight="1" x14ac:dyDescent="0.25">
      <c r="B6" s="8"/>
      <c r="C6" s="8"/>
      <c r="D6" s="8"/>
      <c r="F6" s="148"/>
      <c r="H6" s="174" t="str">
        <f>IF(D19=0,"","Érvényes, a bizonyítvány igénylésének napját megelőző 3 hónapon belül kiállított, fedélzeti szolgálatra szóló egészségi alkalmasság igazolása")</f>
        <v/>
      </c>
      <c r="I6" s="174"/>
      <c r="J6" s="174"/>
      <c r="K6" s="174"/>
      <c r="L6" s="64" t="b">
        <v>1</v>
      </c>
    </row>
    <row r="7" spans="1:12" ht="21.75" customHeight="1" x14ac:dyDescent="0.25">
      <c r="B7" s="8"/>
      <c r="C7" s="8"/>
      <c r="D7" s="8"/>
      <c r="F7" s="148"/>
      <c r="H7" s="174"/>
      <c r="I7" s="174"/>
      <c r="J7" s="174"/>
      <c r="K7" s="174"/>
      <c r="L7" s="64" t="b">
        <v>0</v>
      </c>
    </row>
    <row r="8" spans="1:12" ht="21.75" customHeight="1" x14ac:dyDescent="0.25">
      <c r="B8" s="8"/>
      <c r="C8" s="8"/>
      <c r="D8" s="8"/>
      <c r="F8" s="148"/>
      <c r="H8" s="174" t="str">
        <f>IF(D19=0,"","UNIÓS hajóvezetői bizonyítvány megléte, vagy 
A vagy B kategóriájú hajóvezetői bizonyítvány megléte")</f>
        <v/>
      </c>
      <c r="I8" s="174"/>
      <c r="J8" s="174"/>
      <c r="K8" s="174"/>
      <c r="L8" s="64" t="b">
        <v>1</v>
      </c>
    </row>
    <row r="9" spans="1:12" ht="21.75" customHeight="1" x14ac:dyDescent="0.25">
      <c r="B9" s="8"/>
      <c r="C9" s="8"/>
      <c r="D9" s="8"/>
      <c r="F9" s="228"/>
      <c r="H9" s="174"/>
      <c r="I9" s="174"/>
      <c r="J9" s="174"/>
      <c r="K9" s="174"/>
      <c r="L9" s="64" t="b">
        <v>0</v>
      </c>
    </row>
    <row r="10" spans="1:12" ht="21.75" customHeight="1" x14ac:dyDescent="0.25">
      <c r="B10" s="8"/>
      <c r="C10" s="8"/>
      <c r="D10" s="8"/>
      <c r="E10" s="9"/>
      <c r="F10" s="228"/>
      <c r="H10" s="174"/>
      <c r="I10" s="174"/>
      <c r="J10" s="174"/>
      <c r="K10" s="174"/>
      <c r="L10" s="64" t="b">
        <v>0</v>
      </c>
    </row>
    <row r="11" spans="1:12" ht="21.75" customHeight="1" x14ac:dyDescent="0.25">
      <c r="B11" s="8"/>
      <c r="C11" s="8"/>
      <c r="D11" s="8"/>
      <c r="F11" s="228"/>
      <c r="H11" s="174"/>
      <c r="I11" s="174"/>
      <c r="J11" s="174"/>
      <c r="K11" s="174"/>
      <c r="L11" s="64" t="b">
        <v>0</v>
      </c>
    </row>
    <row r="12" spans="1:12" ht="21.75" customHeight="1" x14ac:dyDescent="0.25">
      <c r="B12" s="8"/>
      <c r="C12" s="8"/>
      <c r="D12" s="8"/>
      <c r="F12" s="228"/>
      <c r="H12" s="177" t="str">
        <f>IF(D19=0,"","2 db színes igazolványkép")</f>
        <v/>
      </c>
      <c r="I12" s="177"/>
      <c r="J12" s="177"/>
      <c r="K12" s="177"/>
      <c r="L12" s="64"/>
    </row>
    <row r="13" spans="1:12" ht="21.75" customHeight="1" x14ac:dyDescent="0.25">
      <c r="B13" s="8"/>
      <c r="C13" s="8"/>
      <c r="D13" s="8"/>
      <c r="F13" s="228"/>
      <c r="H13" s="174" t="str">
        <f>IF(D19=0,"","Díj befizetésének igazolása")</f>
        <v/>
      </c>
      <c r="I13" s="174"/>
      <c r="J13" s="174"/>
      <c r="K13" s="174"/>
      <c r="L13" s="64"/>
    </row>
    <row r="14" spans="1:12" ht="8.25" customHeight="1" x14ac:dyDescent="0.25">
      <c r="H14" s="195"/>
      <c r="I14" s="195"/>
      <c r="J14" s="195"/>
      <c r="K14" s="195"/>
    </row>
    <row r="15" spans="1:12" x14ac:dyDescent="0.25">
      <c r="C15" s="46" t="s">
        <v>128</v>
      </c>
      <c r="D15" s="44"/>
      <c r="F15" s="1" t="s">
        <v>119</v>
      </c>
      <c r="H15" s="197" t="s">
        <v>132</v>
      </c>
      <c r="I15" s="197"/>
      <c r="J15" s="197"/>
      <c r="K15" s="197"/>
    </row>
    <row r="16" spans="1:12" s="2" customFormat="1" ht="124.5" customHeight="1" x14ac:dyDescent="0.25">
      <c r="C16" s="3" t="s">
        <v>303</v>
      </c>
      <c r="D16" s="3" t="s">
        <v>84</v>
      </c>
      <c r="F16" s="43">
        <f>SUM(D18:D19)</f>
        <v>0</v>
      </c>
      <c r="G16" s="17"/>
      <c r="H16" s="286" t="s">
        <v>301</v>
      </c>
      <c r="I16" s="286"/>
      <c r="J16" s="286"/>
      <c r="K16" s="286"/>
    </row>
    <row r="17" spans="3:11" s="2" customFormat="1" ht="15.75" customHeight="1" x14ac:dyDescent="0.25">
      <c r="C17" s="6" t="str">
        <f>IF(C18&lt;&gt;0,"Vizsga","")</f>
        <v/>
      </c>
      <c r="D17" s="42" t="s">
        <v>85</v>
      </c>
      <c r="G17" s="17"/>
      <c r="H17" s="17"/>
      <c r="I17" s="17"/>
      <c r="J17" s="17"/>
      <c r="K17" s="17"/>
    </row>
    <row r="18" spans="3:11" s="1" customFormat="1" x14ac:dyDescent="0.25">
      <c r="C18" s="109">
        <f>IF($L$4=TRUE,KEZDŐLAP!$F$25,0)</f>
        <v>0</v>
      </c>
      <c r="D18" s="66">
        <f>IF(D19=0,0,KEZDŐLAP!F30)</f>
        <v>0</v>
      </c>
      <c r="F18" s="2"/>
      <c r="G18" s="17"/>
      <c r="H18" s="17"/>
      <c r="I18" s="17"/>
      <c r="J18" s="17"/>
      <c r="K18" s="17"/>
    </row>
    <row r="19" spans="3:11" x14ac:dyDescent="0.25">
      <c r="C19" s="140" t="s">
        <v>88</v>
      </c>
      <c r="D19" s="33">
        <f>SUM(C18:C18)</f>
        <v>0</v>
      </c>
      <c r="G19" s="17"/>
      <c r="H19" s="17"/>
      <c r="I19" s="17"/>
      <c r="J19" s="17"/>
      <c r="K19" s="17"/>
    </row>
    <row r="20" spans="3:11" x14ac:dyDescent="0.25">
      <c r="G20" s="17"/>
      <c r="H20" s="17"/>
      <c r="I20" s="17"/>
      <c r="J20" s="17"/>
      <c r="K20" s="17"/>
    </row>
    <row r="21" spans="3:11" x14ac:dyDescent="0.25">
      <c r="G21" s="17"/>
      <c r="H21" s="17"/>
      <c r="I21" s="17"/>
      <c r="J21" s="17"/>
      <c r="K21" s="17"/>
    </row>
    <row r="22" spans="3:11" x14ac:dyDescent="0.25">
      <c r="G22" s="17"/>
      <c r="H22" s="17"/>
      <c r="I22" s="17"/>
      <c r="J22" s="17"/>
      <c r="K22" s="17"/>
    </row>
    <row r="23" spans="3:11" x14ac:dyDescent="0.25">
      <c r="G23" s="17"/>
      <c r="H23" s="17"/>
      <c r="I23" s="17"/>
      <c r="J23" s="17"/>
      <c r="K23" s="17"/>
    </row>
    <row r="24" spans="3:11" x14ac:dyDescent="0.25">
      <c r="G24" s="17"/>
      <c r="H24" s="17"/>
      <c r="I24" s="17"/>
      <c r="J24" s="17"/>
      <c r="K24" s="17"/>
    </row>
  </sheetData>
  <sheetProtection sheet="1" selectLockedCells="1"/>
  <protectedRanges>
    <protectedRange password="EFFA" sqref="G3:K4 L3:L13 F9 G15:K15 D1:K1 E2:L2 A14:A18 D3:E12 E17:F18 F16 B3:C12 I6:K10 F14 H6 H12:K14 H8:H10 G5:G14 C15 B1:C1 B13:C14 D13:E15 C16:C18" name="Tartomány1"/>
    <protectedRange password="EFFA" sqref="F3:F8 F10:F12" name="Tartomány1_2"/>
    <protectedRange password="EFFA" sqref="H5:K5" name="Tartomány1_1"/>
    <protectedRange password="EFFA" sqref="A1" name="Tartomány1_3"/>
    <protectedRange password="EFFA" sqref="B2:D2" name="Tartomány1_4"/>
    <protectedRange password="EFFA" sqref="D16:D18" name="Tartomány1_5"/>
    <protectedRange password="EFFA" sqref="F15" name="Tartomány1_6"/>
    <protectedRange password="EFFA" sqref="G16:J18" name="Tartomány1_2_1"/>
  </protectedRanges>
  <mergeCells count="16">
    <mergeCell ref="H16:K16"/>
    <mergeCell ref="F9:F13"/>
    <mergeCell ref="H12:K12"/>
    <mergeCell ref="H13:K13"/>
    <mergeCell ref="H14:K14"/>
    <mergeCell ref="H15:K15"/>
    <mergeCell ref="B1:D1"/>
    <mergeCell ref="H1:K1"/>
    <mergeCell ref="B2:D2"/>
    <mergeCell ref="F3:F8"/>
    <mergeCell ref="H3:K3"/>
    <mergeCell ref="B4:D4"/>
    <mergeCell ref="H4:K4"/>
    <mergeCell ref="H5:K5"/>
    <mergeCell ref="H6:K7"/>
    <mergeCell ref="H8:K11"/>
  </mergeCells>
  <conditionalFormatting sqref="C17:D17">
    <cfRule type="containsText" dxfId="43" priority="1" operator="containsText" text="Vizsga">
      <formula>NOT(ISERROR(SEARCH("Vizsga",C17)))</formula>
    </cfRule>
    <cfRule type="containsText" dxfId="42" priority="2" operator="containsText" text="&quot;Vizsga&quot;">
      <formula>NOT(ISERROR(SEARCH("""Vizsga""",C17)))</formula>
    </cfRule>
  </conditionalFormatting>
  <hyperlinks>
    <hyperlink ref="A1" location="KEZDŐLAP!A1" display="X" xr:uid="{07DEA17D-C0F0-4E34-93E0-8DF0D877370D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Check Box 1">
              <controlPr defaultSize="0" autoFill="0" autoLine="0" autoPict="0" altText="Rajna: 335.66 - 425.00 fkm (Iffezheim - Mannheim)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2</xdr:col>
                    <xdr:colOff>361950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26" t="s">
        <v>43</v>
      </c>
      <c r="B1" s="172" t="s">
        <v>134</v>
      </c>
      <c r="C1" s="172"/>
      <c r="D1" s="172"/>
      <c r="E1" s="172"/>
      <c r="F1" s="172"/>
      <c r="G1" s="172"/>
      <c r="H1" s="172"/>
      <c r="I1" s="172"/>
      <c r="K1" s="5" t="s">
        <v>1</v>
      </c>
      <c r="M1" s="146" t="s">
        <v>133</v>
      </c>
      <c r="N1" s="146"/>
      <c r="O1" s="146"/>
      <c r="P1" s="146"/>
    </row>
    <row r="2" spans="1:17" ht="13.5" customHeight="1" x14ac:dyDescent="0.25">
      <c r="B2" s="172"/>
      <c r="C2" s="172"/>
      <c r="D2" s="172"/>
      <c r="E2" s="172"/>
      <c r="F2" s="172"/>
      <c r="G2" s="172"/>
      <c r="H2" s="172"/>
      <c r="I2" s="172"/>
      <c r="K2" s="1"/>
      <c r="Q2" s="24"/>
    </row>
    <row r="3" spans="1:17" ht="18" customHeight="1" x14ac:dyDescent="0.25">
      <c r="B3" s="175" t="s">
        <v>137</v>
      </c>
      <c r="C3" s="175"/>
      <c r="D3" s="175"/>
      <c r="E3" s="175"/>
      <c r="F3" s="175"/>
      <c r="G3" s="175"/>
      <c r="H3" s="175"/>
      <c r="I3" s="175"/>
      <c r="K3" s="148"/>
      <c r="M3" s="174" t="str">
        <f>IF(Q4=TRUE,"Okmányigénylés","Írásos vizsgajelentkezési kérelem")</f>
        <v>Írásos vizsgajelentkezési kérelem</v>
      </c>
      <c r="N3" s="174"/>
      <c r="O3" s="174"/>
      <c r="P3" s="174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77" t="s">
        <v>129</v>
      </c>
      <c r="N5" s="177"/>
      <c r="O5" s="177"/>
      <c r="P5" s="17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74" t="s">
        <v>131</v>
      </c>
      <c r="N6" s="174"/>
      <c r="O6" s="174"/>
      <c r="P6" s="174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74"/>
      <c r="O8" s="174"/>
      <c r="P8" s="174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8"/>
      <c r="M9" s="174"/>
      <c r="N9" s="174"/>
      <c r="O9" s="174"/>
      <c r="P9" s="174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8"/>
      <c r="M12" s="177" t="s">
        <v>10</v>
      </c>
      <c r="N12" s="177"/>
      <c r="O12" s="177"/>
      <c r="P12" s="177"/>
      <c r="Q12" s="64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228"/>
      <c r="M13" s="174" t="s">
        <v>110</v>
      </c>
      <c r="N13" s="174"/>
      <c r="O13" s="174"/>
      <c r="P13" s="174"/>
      <c r="Q13" s="64"/>
    </row>
    <row r="14" spans="1:17" ht="8.25" customHeight="1" x14ac:dyDescent="0.25">
      <c r="M14" s="195"/>
      <c r="N14" s="195"/>
      <c r="O14" s="195"/>
      <c r="P14" s="195"/>
    </row>
    <row r="15" spans="1:17" x14ac:dyDescent="0.25">
      <c r="B15" s="159" t="s">
        <v>13</v>
      </c>
      <c r="C15" s="160"/>
      <c r="D15" s="44"/>
      <c r="K15" s="1" t="s">
        <v>119</v>
      </c>
      <c r="M15" s="195" t="s">
        <v>164</v>
      </c>
      <c r="N15" s="195"/>
      <c r="O15" s="195"/>
      <c r="P15" s="195"/>
    </row>
    <row r="16" spans="1:17" s="2" customFormat="1" ht="124.5" customHeight="1" x14ac:dyDescent="0.25">
      <c r="B16" s="3" t="s">
        <v>135</v>
      </c>
      <c r="C16" s="3" t="s">
        <v>136</v>
      </c>
      <c r="D16" s="3" t="s">
        <v>84</v>
      </c>
      <c r="E16" s="37"/>
      <c r="F16" s="37"/>
      <c r="G16" s="37"/>
      <c r="K16" s="43">
        <f>SUM(D18:D19)</f>
        <v>34700</v>
      </c>
      <c r="M16" s="286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86"/>
      <c r="O16" s="286"/>
      <c r="P16" s="286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17"/>
      <c r="N17" s="17"/>
      <c r="O17" s="17"/>
    </row>
    <row r="18" spans="2:16" s="1" customFormat="1" x14ac:dyDescent="0.25">
      <c r="B18" s="33">
        <f>IF($Q$4=TRUE,0,KEZDŐLAP!F25)</f>
        <v>10800</v>
      </c>
      <c r="C18" s="33">
        <f>IF($Q$4=TRUE,0,KEZDŐLAP!F26)</f>
        <v>17400</v>
      </c>
      <c r="D18" s="66">
        <f>KEZDŐLAP!F30</f>
        <v>6500</v>
      </c>
      <c r="E18" s="70"/>
      <c r="F18" s="70"/>
      <c r="G18" s="70"/>
      <c r="J18" s="2"/>
      <c r="K18" s="17"/>
      <c r="L18" s="17"/>
      <c r="M18" s="17"/>
      <c r="N18" s="17"/>
      <c r="O18" s="17"/>
    </row>
    <row r="19" spans="2:16" x14ac:dyDescent="0.25">
      <c r="B19" s="219" t="s">
        <v>88</v>
      </c>
      <c r="C19" s="221"/>
      <c r="D19" s="33">
        <f>SUM(B18:C18)</f>
        <v>28200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:I2"/>
    <mergeCell ref="M16:P16"/>
    <mergeCell ref="M15:P15"/>
    <mergeCell ref="M1:P1"/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</mergeCells>
  <conditionalFormatting sqref="B17:G17">
    <cfRule type="containsText" dxfId="41" priority="1" operator="containsText" text="Vizsga">
      <formula>NOT(ISERROR(SEARCH("Vizsga",B17)))</formula>
    </cfRule>
    <cfRule type="containsText" dxfId="40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3" t="s">
        <v>115</v>
      </c>
      <c r="C1" s="173"/>
      <c r="D1" s="173"/>
      <c r="E1" s="173"/>
      <c r="F1" s="173"/>
      <c r="G1" s="173"/>
      <c r="H1" s="173"/>
      <c r="I1" s="173"/>
      <c r="K1" s="173" t="s">
        <v>1</v>
      </c>
      <c r="M1" s="172" t="s">
        <v>116</v>
      </c>
      <c r="N1" s="172"/>
      <c r="O1" s="172"/>
      <c r="P1" s="172"/>
    </row>
    <row r="2" spans="1:17" ht="30" customHeight="1" x14ac:dyDescent="0.25">
      <c r="A2" s="69"/>
      <c r="B2" s="171" t="s">
        <v>228</v>
      </c>
      <c r="C2" s="171"/>
      <c r="D2" s="171"/>
      <c r="E2" s="171"/>
      <c r="F2" s="171"/>
      <c r="G2" s="171"/>
      <c r="H2" s="171"/>
      <c r="I2" s="171"/>
      <c r="K2" s="173"/>
      <c r="M2" s="172"/>
      <c r="N2" s="172"/>
      <c r="O2" s="172"/>
      <c r="P2" s="172"/>
    </row>
    <row r="3" spans="1:17" ht="15" customHeight="1" x14ac:dyDescent="0.25">
      <c r="B3" s="175" t="s">
        <v>117</v>
      </c>
      <c r="C3" s="175"/>
      <c r="D3" s="175"/>
      <c r="E3" s="175"/>
      <c r="F3" s="175"/>
      <c r="G3" s="175"/>
      <c r="H3" s="175"/>
      <c r="I3" s="175"/>
      <c r="K3" s="1"/>
      <c r="M3" s="149" t="s">
        <v>118</v>
      </c>
      <c r="N3" s="149"/>
      <c r="O3" s="149"/>
      <c r="P3" s="149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8" t="str">
        <f>IF(Q4=FALSE,"Jóváhagyott képzési program részeként legalább 90 nap hajózási idő teljesítése a fedélzeti személyzet tagjaként","")</f>
        <v>Jóváhagyott képzési program részeként legalább 90 nap hajózási idő teljesítése a fedélzeti személyzet tagjaként</v>
      </c>
      <c r="M4" s="149"/>
      <c r="N4" s="149"/>
      <c r="O4" s="149"/>
      <c r="P4" s="149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8"/>
      <c r="M5" s="150" t="s">
        <v>7</v>
      </c>
      <c r="N5" s="150"/>
      <c r="O5" s="150"/>
      <c r="P5" s="150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8"/>
      <c r="M6" s="149" t="s">
        <v>8</v>
      </c>
      <c r="N6" s="149"/>
      <c r="O6" s="149"/>
      <c r="P6" s="149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8"/>
      <c r="M7" s="149"/>
      <c r="N7" s="149"/>
      <c r="O7" s="149"/>
      <c r="P7" s="149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8"/>
      <c r="M8" s="150" t="s">
        <v>110</v>
      </c>
      <c r="N8" s="150"/>
      <c r="O8" s="150"/>
      <c r="P8" s="150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8"/>
      <c r="M9" s="167" t="str">
        <f>IF(Q4=TRUE,"Igazolás a hajózási hatóság által jóváhagyott képzésben sikeres matrózvizsga letételéről, vagy",IF(AND(Q4,Q5)=FALSE,"","A hajózási hatóság által jóváhagyott képzési programot végzett el"))</f>
        <v/>
      </c>
      <c r="N9" s="168"/>
      <c r="O9" s="168"/>
      <c r="P9" s="169"/>
      <c r="Q9" s="64"/>
    </row>
    <row r="10" spans="1:17" ht="72.75" customHeight="1" x14ac:dyDescent="0.25">
      <c r="M10" s="167" t="str">
        <f>IF(Q4=TRUE,"a hajózási hatóság által jóváhagyott képzési program elvégzése, és e jóváhagyott képzési program részeként legalább 90 nap hajózási idő teljesítése a fedélzeti személyzet tagjaként","")</f>
        <v/>
      </c>
      <c r="N10" s="168"/>
      <c r="O10" s="168"/>
      <c r="P10" s="169"/>
    </row>
    <row r="11" spans="1:17" ht="21.75" customHeight="1" x14ac:dyDescent="0.25">
      <c r="M11" s="174" t="str">
        <f>IF(Q4=TRUE,"","Betöltött 17. életév")</f>
        <v>Betöltött 17. életév</v>
      </c>
      <c r="N11" s="174"/>
      <c r="O11" s="174"/>
      <c r="P11" s="174"/>
    </row>
    <row r="12" spans="1:17" x14ac:dyDescent="0.25">
      <c r="K12" s="1" t="s">
        <v>119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f>KEZDŐLAP!F32</f>
        <v>8700</v>
      </c>
      <c r="L13"/>
      <c r="M13" s="170"/>
      <c r="N13" s="170"/>
      <c r="O13" s="170"/>
      <c r="P13" s="170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46" t="s">
        <v>138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133</v>
      </c>
      <c r="N1" s="146"/>
      <c r="O1" s="146"/>
      <c r="P1" s="146"/>
    </row>
    <row r="2" spans="1:17" ht="22.5" customHeight="1" x14ac:dyDescent="0.25">
      <c r="B2" s="175" t="s">
        <v>137</v>
      </c>
      <c r="C2" s="175"/>
      <c r="D2" s="175"/>
      <c r="E2" s="175"/>
      <c r="F2" s="175"/>
      <c r="G2" s="175"/>
      <c r="H2" s="175"/>
      <c r="I2" s="175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227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74" t="str">
        <f>IF(D19=0,"Okmányigénylés","Írásos vizsgajelentkezési kérelem")</f>
        <v>Írásos vizsgajelentkezési kérelem</v>
      </c>
      <c r="N3" s="174"/>
      <c r="O3" s="174"/>
      <c r="P3" s="174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227"/>
      <c r="M4" s="177" t="s">
        <v>7</v>
      </c>
      <c r="N4" s="177"/>
      <c r="O4" s="177"/>
      <c r="P4" s="17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227"/>
      <c r="M5" s="177" t="s">
        <v>129</v>
      </c>
      <c r="N5" s="177"/>
      <c r="O5" s="177"/>
      <c r="P5" s="177"/>
      <c r="Q5" s="64"/>
    </row>
    <row r="6" spans="1:17" ht="25.5" customHeight="1" x14ac:dyDescent="0.25">
      <c r="B6" s="8"/>
      <c r="C6" s="8"/>
      <c r="D6" s="8"/>
      <c r="E6" s="8"/>
      <c r="F6" s="8"/>
      <c r="G6" s="8"/>
      <c r="H6" s="8"/>
      <c r="I6" s="8"/>
      <c r="K6" s="227"/>
      <c r="M6" s="174" t="s">
        <v>253</v>
      </c>
      <c r="N6" s="174"/>
      <c r="O6" s="174"/>
      <c r="P6" s="174"/>
      <c r="Q6" s="64"/>
    </row>
    <row r="7" spans="1:17" ht="25.5" customHeight="1" x14ac:dyDescent="0.25">
      <c r="B7" s="8"/>
      <c r="C7" s="8"/>
      <c r="D7" s="8"/>
      <c r="E7" s="8"/>
      <c r="F7" s="8"/>
      <c r="G7" s="8"/>
      <c r="H7" s="8"/>
      <c r="I7" s="8"/>
      <c r="K7" s="227"/>
      <c r="M7" s="174"/>
      <c r="N7" s="174"/>
      <c r="O7" s="174"/>
      <c r="P7" s="174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227"/>
      <c r="M8" s="174" t="str">
        <f>IF(Q4=TRUE,"","UNIÓS hajóvezetői bizonyítvány, A, B vagy C kategóriájú hajóvezetői bizonyítvány megléte")</f>
        <v>UNIÓS hajóvezetői bizonyítvány, A, B vagy C kategóriájú hajóvezetői bizonyítvány megléte</v>
      </c>
      <c r="N8" s="174"/>
      <c r="O8" s="174"/>
      <c r="P8" s="174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8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74"/>
      <c r="N9" s="174"/>
      <c r="O9" s="174"/>
      <c r="P9" s="174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8"/>
      <c r="M12" s="177" t="s">
        <v>10</v>
      </c>
      <c r="N12" s="177"/>
      <c r="O12" s="177"/>
      <c r="P12" s="177"/>
      <c r="Q12" s="64"/>
    </row>
    <row r="13" spans="1:17" ht="24.75" customHeight="1" x14ac:dyDescent="0.25">
      <c r="B13" s="290" t="s">
        <v>227</v>
      </c>
      <c r="C13" s="290"/>
      <c r="D13" s="290"/>
      <c r="E13" s="290"/>
      <c r="F13" s="290"/>
      <c r="G13" s="290"/>
      <c r="H13" s="290"/>
      <c r="I13" s="290"/>
      <c r="K13" s="228"/>
      <c r="M13" s="174" t="s">
        <v>110</v>
      </c>
      <c r="N13" s="174"/>
      <c r="O13" s="174"/>
      <c r="P13" s="174"/>
      <c r="Q13" s="64"/>
    </row>
    <row r="14" spans="1:17" ht="8.25" customHeight="1" x14ac:dyDescent="0.25">
      <c r="K14" s="71"/>
      <c r="M14" s="195"/>
      <c r="N14" s="195"/>
      <c r="O14" s="195"/>
      <c r="P14" s="195"/>
    </row>
    <row r="15" spans="1:17" x14ac:dyDescent="0.25">
      <c r="B15" s="159" t="s">
        <v>13</v>
      </c>
      <c r="C15" s="160"/>
      <c r="D15" s="44"/>
      <c r="K15" s="1" t="s">
        <v>119</v>
      </c>
      <c r="M15" s="195" t="s">
        <v>164</v>
      </c>
      <c r="N15" s="195"/>
      <c r="O15" s="195"/>
      <c r="P15" s="195"/>
    </row>
    <row r="16" spans="1:17" s="2" customFormat="1" ht="124.5" customHeight="1" x14ac:dyDescent="0.25">
      <c r="B16" s="3" t="s">
        <v>139</v>
      </c>
      <c r="C16" s="3" t="s">
        <v>140</v>
      </c>
      <c r="D16" s="3" t="s">
        <v>84</v>
      </c>
      <c r="E16" s="37"/>
      <c r="F16" s="37"/>
      <c r="G16" s="37"/>
      <c r="K16" s="43">
        <f>SUM(D18:D19)</f>
        <v>45600</v>
      </c>
      <c r="M16" s="286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86"/>
      <c r="O16" s="286"/>
      <c r="P16" s="286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286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86"/>
      <c r="O17" s="286"/>
      <c r="P17" s="286"/>
    </row>
    <row r="18" spans="2:16" s="1" customFormat="1" x14ac:dyDescent="0.25">
      <c r="B18" s="33">
        <f>IF($Q$4=TRUE,0,KEZDŐLAP!F25)</f>
        <v>10800</v>
      </c>
      <c r="C18" s="33">
        <f>IF($Q$4=TRUE,0,KEZDŐLAP!F29)</f>
        <v>28300</v>
      </c>
      <c r="D18" s="66">
        <f>KEZDŐLAP!F30</f>
        <v>6500</v>
      </c>
      <c r="E18" s="70"/>
      <c r="F18" s="70"/>
      <c r="G18" s="70"/>
      <c r="J18" s="2"/>
      <c r="K18" s="17"/>
      <c r="L18" s="17"/>
      <c r="M18" s="286"/>
      <c r="N18" s="286"/>
      <c r="O18" s="286"/>
      <c r="P18" s="286"/>
    </row>
    <row r="19" spans="2:16" x14ac:dyDescent="0.25">
      <c r="B19" s="219" t="s">
        <v>88</v>
      </c>
      <c r="C19" s="221"/>
      <c r="D19" s="33">
        <f>SUM(B18:C18)</f>
        <v>39100</v>
      </c>
      <c r="E19" s="19"/>
      <c r="K19" s="17"/>
      <c r="L19" s="17"/>
      <c r="M19" s="286"/>
      <c r="N19" s="286"/>
      <c r="O19" s="286"/>
      <c r="P19" s="286"/>
    </row>
    <row r="20" spans="2:16" x14ac:dyDescent="0.25">
      <c r="L20" s="17"/>
      <c r="M20" s="286"/>
      <c r="N20" s="286"/>
      <c r="O20" s="286"/>
      <c r="P20" s="286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9">
    <mergeCell ref="M16:P16"/>
    <mergeCell ref="M15:P15"/>
    <mergeCell ref="B15:C15"/>
    <mergeCell ref="B19:C19"/>
    <mergeCell ref="M17:P20"/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  <mergeCell ref="B13:I13"/>
  </mergeCells>
  <conditionalFormatting sqref="B17:G17">
    <cfRule type="containsText" dxfId="39" priority="1" operator="containsText" text="Vizsga">
      <formula>NOT(ISERROR(SEARCH("Vizsga",B17)))</formula>
    </cfRule>
    <cfRule type="containsText" dxfId="38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7</xdr:col>
                    <xdr:colOff>295275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26" t="s">
        <v>43</v>
      </c>
      <c r="B1" s="146" t="s">
        <v>162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165</v>
      </c>
      <c r="N1" s="146"/>
      <c r="O1" s="146"/>
      <c r="P1" s="146"/>
    </row>
    <row r="2" spans="1:17" ht="22.5" customHeight="1" x14ac:dyDescent="0.25">
      <c r="B2" s="175" t="s">
        <v>137</v>
      </c>
      <c r="C2" s="175"/>
      <c r="D2" s="175"/>
      <c r="E2" s="175"/>
      <c r="F2" s="175"/>
      <c r="G2" s="175"/>
      <c r="H2" s="175"/>
      <c r="I2" s="175"/>
      <c r="K2" s="148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8"/>
      <c r="M3" s="174" t="s">
        <v>163</v>
      </c>
      <c r="N3" s="174"/>
      <c r="O3" s="174"/>
      <c r="P3" s="174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77" t="s">
        <v>129</v>
      </c>
      <c r="N5" s="177"/>
      <c r="O5" s="177"/>
      <c r="P5" s="17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74" t="s">
        <v>131</v>
      </c>
      <c r="N6" s="174"/>
      <c r="O6" s="174"/>
      <c r="P6" s="174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/>
      <c r="N7" s="174"/>
      <c r="O7" s="174"/>
      <c r="P7" s="174"/>
      <c r="Q7" s="64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 t="str">
        <f>IF(Q4=TRUE,"","UNIÓS hajóvezetői bizonyítvány megléte")</f>
        <v>UNIÓS hajóvezetői bizonyítvány megléte</v>
      </c>
      <c r="N8" s="174"/>
      <c r="O8" s="174"/>
      <c r="P8" s="174"/>
      <c r="Q8" s="64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228"/>
      <c r="M9" s="174"/>
      <c r="N9" s="174"/>
      <c r="O9" s="174"/>
      <c r="P9" s="174"/>
      <c r="Q9" s="64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8"/>
      <c r="M10" s="174"/>
      <c r="N10" s="174"/>
      <c r="O10" s="174"/>
      <c r="P10" s="174"/>
      <c r="Q10" s="64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228"/>
      <c r="M11" s="174"/>
      <c r="N11" s="174"/>
      <c r="O11" s="174"/>
      <c r="P11" s="174"/>
      <c r="Q11" s="64"/>
    </row>
    <row r="12" spans="1:17" ht="18" customHeight="1" x14ac:dyDescent="0.25">
      <c r="B12" s="230" t="s">
        <v>227</v>
      </c>
      <c r="C12" s="230"/>
      <c r="D12" s="230"/>
      <c r="E12" s="230"/>
      <c r="F12" s="230"/>
      <c r="G12" s="230"/>
      <c r="H12" s="230"/>
      <c r="I12" s="230"/>
      <c r="K12" s="228"/>
      <c r="M12" s="177" t="s">
        <v>10</v>
      </c>
      <c r="N12" s="177"/>
      <c r="O12" s="177"/>
      <c r="P12" s="177"/>
      <c r="Q12" s="64"/>
    </row>
    <row r="13" spans="1:17" ht="18" customHeight="1" x14ac:dyDescent="0.25">
      <c r="B13" s="230"/>
      <c r="C13" s="230"/>
      <c r="D13" s="230"/>
      <c r="E13" s="230"/>
      <c r="F13" s="230"/>
      <c r="G13" s="230"/>
      <c r="H13" s="230"/>
      <c r="I13" s="230"/>
      <c r="K13" s="228"/>
      <c r="M13" s="174" t="s">
        <v>110</v>
      </c>
      <c r="N13" s="174"/>
      <c r="O13" s="174"/>
      <c r="P13" s="174"/>
      <c r="Q13" s="64"/>
    </row>
    <row r="14" spans="1:17" ht="8.25" customHeight="1" x14ac:dyDescent="0.25">
      <c r="K14" s="18"/>
      <c r="M14" s="195"/>
      <c r="N14" s="195"/>
      <c r="O14" s="195"/>
      <c r="P14" s="195"/>
    </row>
    <row r="15" spans="1:17" x14ac:dyDescent="0.25">
      <c r="K15" s="195" t="s">
        <v>164</v>
      </c>
      <c r="L15" s="195"/>
      <c r="M15" s="195"/>
      <c r="N15" s="195"/>
      <c r="O15" s="195"/>
      <c r="P15" s="195"/>
    </row>
    <row r="16" spans="1:17" s="2" customFormat="1" ht="37.5" customHeight="1" x14ac:dyDescent="0.25">
      <c r="B16"/>
      <c r="C16"/>
      <c r="D16"/>
      <c r="E16"/>
      <c r="F16" s="37"/>
      <c r="G16" s="37"/>
      <c r="H16" s="6" t="s">
        <v>119</v>
      </c>
      <c r="K16" s="306" t="s">
        <v>161</v>
      </c>
      <c r="L16" s="307"/>
      <c r="M16" s="307"/>
      <c r="N16" s="307"/>
      <c r="O16" s="307"/>
      <c r="P16" s="308"/>
    </row>
    <row r="17" spans="2:16" s="2" customFormat="1" ht="27" customHeight="1" x14ac:dyDescent="0.25">
      <c r="B17"/>
      <c r="C17"/>
      <c r="D17"/>
      <c r="E17"/>
      <c r="F17" s="37"/>
      <c r="G17" s="37"/>
      <c r="H17" s="79">
        <f>KEZDŐLAP!F30</f>
        <v>6500</v>
      </c>
      <c r="K17" s="291" t="s">
        <v>167</v>
      </c>
      <c r="L17" s="292"/>
      <c r="M17" s="292"/>
      <c r="N17" s="292"/>
      <c r="O17" s="292"/>
      <c r="P17" s="293"/>
    </row>
    <row r="18" spans="2:16" s="2" customFormat="1" ht="27" customHeight="1" x14ac:dyDescent="0.25">
      <c r="B18"/>
      <c r="C18"/>
      <c r="D18"/>
      <c r="E18"/>
      <c r="F18" s="36"/>
      <c r="G18" s="36"/>
      <c r="K18" s="294"/>
      <c r="L18" s="295"/>
      <c r="M18" s="295"/>
      <c r="N18" s="295"/>
      <c r="O18" s="295"/>
      <c r="P18" s="296"/>
    </row>
    <row r="19" spans="2:16" s="1" customFormat="1" ht="27" customHeight="1" x14ac:dyDescent="0.25">
      <c r="B19"/>
      <c r="C19"/>
      <c r="D19"/>
      <c r="E19"/>
      <c r="F19" s="70"/>
      <c r="G19" s="70"/>
      <c r="J19" s="2"/>
      <c r="K19" s="297"/>
      <c r="L19" s="298"/>
      <c r="M19" s="298"/>
      <c r="N19" s="298"/>
      <c r="O19" s="298"/>
      <c r="P19" s="299"/>
    </row>
    <row r="20" spans="2:16" ht="13.5" customHeight="1" x14ac:dyDescent="0.25">
      <c r="K20" s="291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92"/>
      <c r="M20" s="292"/>
      <c r="N20" s="292"/>
      <c r="O20" s="292"/>
      <c r="P20" s="293"/>
    </row>
    <row r="21" spans="2:16" ht="13.5" customHeight="1" x14ac:dyDescent="0.25">
      <c r="K21" s="294"/>
      <c r="L21" s="295"/>
      <c r="M21" s="295"/>
      <c r="N21" s="295"/>
      <c r="O21" s="295"/>
      <c r="P21" s="296"/>
    </row>
    <row r="22" spans="2:16" ht="13.5" customHeight="1" x14ac:dyDescent="0.25">
      <c r="K22" s="294"/>
      <c r="L22" s="295"/>
      <c r="M22" s="295"/>
      <c r="N22" s="295"/>
      <c r="O22" s="295"/>
      <c r="P22" s="296"/>
    </row>
    <row r="23" spans="2:16" ht="13.5" customHeight="1" x14ac:dyDescent="0.25">
      <c r="K23" s="294"/>
      <c r="L23" s="295"/>
      <c r="M23" s="295"/>
      <c r="N23" s="295"/>
      <c r="O23" s="295"/>
      <c r="P23" s="296"/>
    </row>
    <row r="24" spans="2:16" ht="13.5" customHeight="1" x14ac:dyDescent="0.25">
      <c r="K24" s="294"/>
      <c r="L24" s="295"/>
      <c r="M24" s="295"/>
      <c r="N24" s="295"/>
      <c r="O24" s="295"/>
      <c r="P24" s="296"/>
    </row>
    <row r="25" spans="2:16" ht="13.5" customHeight="1" x14ac:dyDescent="0.25">
      <c r="K25" s="297"/>
      <c r="L25" s="298"/>
      <c r="M25" s="298"/>
      <c r="N25" s="298"/>
      <c r="O25" s="298"/>
      <c r="P25" s="299"/>
    </row>
    <row r="26" spans="2:16" x14ac:dyDescent="0.25">
      <c r="K26" s="300" t="s">
        <v>166</v>
      </c>
      <c r="L26" s="301"/>
      <c r="M26" s="301"/>
      <c r="N26" s="301"/>
      <c r="O26" s="301"/>
      <c r="P26" s="302"/>
    </row>
    <row r="27" spans="2:16" x14ac:dyDescent="0.25">
      <c r="K27" s="303"/>
      <c r="L27" s="304"/>
      <c r="M27" s="304"/>
      <c r="N27" s="304"/>
      <c r="O27" s="304"/>
      <c r="P27" s="305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9">
    <mergeCell ref="B1:I1"/>
    <mergeCell ref="M1:P1"/>
    <mergeCell ref="B2:I2"/>
    <mergeCell ref="M3:P3"/>
    <mergeCell ref="M4:P4"/>
    <mergeCell ref="B12:I13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</mergeCells>
  <conditionalFormatting sqref="F18:G18">
    <cfRule type="containsText" dxfId="37" priority="1" operator="containsText" text="Vizsga">
      <formula>NOT(ISERROR(SEARCH("Vizsga",F18)))</formula>
    </cfRule>
    <cfRule type="containsText" dxfId="36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46" t="s">
        <v>168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133</v>
      </c>
      <c r="N1" s="146"/>
      <c r="O1" s="146"/>
      <c r="P1" s="146"/>
    </row>
    <row r="2" spans="1:17" ht="22.5" customHeight="1" x14ac:dyDescent="0.25">
      <c r="B2" s="175" t="s">
        <v>171</v>
      </c>
      <c r="C2" s="175"/>
      <c r="D2" s="175"/>
      <c r="E2" s="175"/>
      <c r="F2" s="175"/>
      <c r="G2" s="175"/>
      <c r="H2" s="175"/>
      <c r="I2" s="175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8" t="s">
        <v>172</v>
      </c>
      <c r="M3" s="174" t="str">
        <f>IF(D17=0,"Okmányigénylés","Írásos vizsgajelentkezési kérelem")</f>
        <v>Írásos vizsgajelentkezési kérelem</v>
      </c>
      <c r="N3" s="174"/>
      <c r="O3" s="174"/>
      <c r="P3" s="174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77" t="s">
        <v>7</v>
      </c>
      <c r="N4" s="177"/>
      <c r="O4" s="177"/>
      <c r="P4" s="17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77" t="s">
        <v>129</v>
      </c>
      <c r="N5" s="177"/>
      <c r="O5" s="177"/>
      <c r="P5" s="17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78" t="s">
        <v>33</v>
      </c>
      <c r="N6" s="179"/>
      <c r="O6" s="179"/>
      <c r="P6" s="180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 t="s">
        <v>131</v>
      </c>
      <c r="N7" s="174"/>
      <c r="O7" s="174"/>
      <c r="P7" s="174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/>
      <c r="N8" s="174"/>
      <c r="O8" s="174"/>
      <c r="P8" s="174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67" t="str">
        <f>IF(Q4=TRUE,"Képzési és vizsgaigazolás benyújtása","")</f>
        <v/>
      </c>
      <c r="N9" s="168"/>
      <c r="O9" s="168"/>
      <c r="P9" s="169"/>
      <c r="Q9" s="64"/>
    </row>
    <row r="10" spans="1:17" ht="18" customHeight="1" x14ac:dyDescent="0.25">
      <c r="B10" s="230" t="s">
        <v>227</v>
      </c>
      <c r="C10" s="230"/>
      <c r="D10" s="230"/>
      <c r="E10" s="230"/>
      <c r="F10" s="230"/>
      <c r="G10" s="230"/>
      <c r="H10" s="230"/>
      <c r="I10" s="230"/>
      <c r="K10" s="228"/>
      <c r="M10" s="177" t="s">
        <v>10</v>
      </c>
      <c r="N10" s="177"/>
      <c r="O10" s="177"/>
      <c r="P10" s="177"/>
      <c r="Q10" s="64"/>
    </row>
    <row r="11" spans="1:17" ht="18" customHeight="1" x14ac:dyDescent="0.25">
      <c r="B11" s="230"/>
      <c r="C11" s="230"/>
      <c r="D11" s="230"/>
      <c r="E11" s="230"/>
      <c r="F11" s="230"/>
      <c r="G11" s="230"/>
      <c r="H11" s="230"/>
      <c r="I11" s="230"/>
      <c r="K11" s="228"/>
      <c r="M11" s="174" t="s">
        <v>110</v>
      </c>
      <c r="N11" s="174"/>
      <c r="O11" s="174"/>
      <c r="P11" s="174"/>
      <c r="Q11" s="64"/>
    </row>
    <row r="12" spans="1:17" ht="8.25" customHeight="1" x14ac:dyDescent="0.25">
      <c r="K12" s="71"/>
      <c r="M12" s="195"/>
      <c r="N12" s="195"/>
      <c r="O12" s="195"/>
      <c r="P12" s="195"/>
    </row>
    <row r="13" spans="1:17" x14ac:dyDescent="0.25">
      <c r="B13" s="159" t="s">
        <v>13</v>
      </c>
      <c r="C13" s="160"/>
      <c r="D13" s="44"/>
      <c r="K13" s="1" t="s">
        <v>119</v>
      </c>
      <c r="M13" s="195" t="s">
        <v>164</v>
      </c>
      <c r="N13" s="195"/>
      <c r="O13" s="195"/>
      <c r="P13" s="195"/>
    </row>
    <row r="14" spans="1:17" s="2" customFormat="1" ht="124.5" customHeight="1" x14ac:dyDescent="0.25">
      <c r="B14" s="3" t="s">
        <v>169</v>
      </c>
      <c r="C14" s="3" t="s">
        <v>170</v>
      </c>
      <c r="D14" s="3" t="s">
        <v>84</v>
      </c>
      <c r="E14" s="37"/>
      <c r="F14" s="37"/>
      <c r="G14" s="37"/>
      <c r="K14" s="43">
        <f>SUM(D16:D17)</f>
        <v>45600</v>
      </c>
      <c r="M14" s="286" t="str">
        <f>IF(Q4=TRUE,"","A gyakorlati vizsgatárgy vizsgája a sikeres tesztvizsgát követően kezdhető meg.")</f>
        <v>A gyakorlati vizsgatárgy vizsgája a sikeres tesztvizsgát követően kezdhető meg.</v>
      </c>
      <c r="N14" s="286"/>
      <c r="O14" s="286"/>
      <c r="P14" s="286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42" t="s">
        <v>85</v>
      </c>
      <c r="E15" s="36"/>
      <c r="F15" s="36"/>
      <c r="G15" s="36"/>
      <c r="K15" s="17"/>
      <c r="L15" s="17"/>
      <c r="M15" s="286" t="s">
        <v>173</v>
      </c>
      <c r="N15" s="286"/>
      <c r="O15" s="286"/>
      <c r="P15" s="286"/>
    </row>
    <row r="16" spans="1:17" s="1" customFormat="1" x14ac:dyDescent="0.25">
      <c r="B16" s="33">
        <f>IF($Q$4=TRUE,0,KEZDŐLAP!F25)</f>
        <v>10800</v>
      </c>
      <c r="C16" s="33">
        <f>IF($Q$4=TRUE,0,KEZDŐLAP!F29)</f>
        <v>28300</v>
      </c>
      <c r="D16" s="66">
        <f>KEZDŐLAP!F30</f>
        <v>6500</v>
      </c>
      <c r="E16" s="70"/>
      <c r="F16" s="70"/>
      <c r="G16" s="70"/>
      <c r="J16" s="2"/>
      <c r="K16" s="17"/>
      <c r="L16" s="17"/>
      <c r="M16" s="286"/>
      <c r="N16" s="286"/>
      <c r="O16" s="286"/>
      <c r="P16" s="286"/>
    </row>
    <row r="17" spans="2:16" x14ac:dyDescent="0.25">
      <c r="B17" s="219" t="s">
        <v>88</v>
      </c>
      <c r="C17" s="221"/>
      <c r="D17" s="33">
        <f>SUM(B16:C16)</f>
        <v>39100</v>
      </c>
      <c r="E17" s="19"/>
      <c r="K17" s="17"/>
      <c r="L17" s="17"/>
      <c r="M17" s="286"/>
      <c r="N17" s="286"/>
      <c r="O17" s="286"/>
      <c r="P17" s="286"/>
    </row>
    <row r="18" spans="2:16" x14ac:dyDescent="0.25">
      <c r="L18" s="17"/>
      <c r="M18" s="286"/>
      <c r="N18" s="286"/>
      <c r="O18" s="286"/>
      <c r="P18" s="286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20"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0:I11"/>
    <mergeCell ref="B1:I1"/>
    <mergeCell ref="M1:P1"/>
    <mergeCell ref="B2:I2"/>
    <mergeCell ref="K3:K8"/>
    <mergeCell ref="M3:P3"/>
    <mergeCell ref="M4:P4"/>
    <mergeCell ref="M5:P5"/>
    <mergeCell ref="M7:P8"/>
  </mergeCells>
  <conditionalFormatting sqref="B15:G15">
    <cfRule type="containsText" dxfId="35" priority="1" operator="containsText" text="Vizsga">
      <formula>NOT(ISERROR(SEARCH("Vizsga",B15)))</formula>
    </cfRule>
    <cfRule type="containsText" dxfId="34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ColWidth="9.140625"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27" hidden="1" customWidth="1"/>
    <col min="15" max="16384" width="9.140625" style="2"/>
  </cols>
  <sheetData>
    <row r="1" spans="1:8" ht="30" customHeight="1" x14ac:dyDescent="0.25">
      <c r="A1" s="29" t="s">
        <v>43</v>
      </c>
      <c r="B1" s="309" t="s">
        <v>63</v>
      </c>
      <c r="C1" s="309"/>
      <c r="D1" s="309"/>
      <c r="E1" s="309"/>
      <c r="F1" s="309"/>
      <c r="G1" s="309"/>
    </row>
    <row r="2" spans="1:8" ht="16.5" customHeight="1" x14ac:dyDescent="0.25">
      <c r="B2" s="14">
        <f t="shared" ref="B2:B24" si="0">$H$2</f>
        <v>3</v>
      </c>
      <c r="C2" s="170" t="s">
        <v>64</v>
      </c>
      <c r="D2" s="170"/>
      <c r="E2" s="170"/>
      <c r="F2" s="170"/>
      <c r="H2" s="23">
        <v>3</v>
      </c>
    </row>
    <row r="3" spans="1:8" x14ac:dyDescent="0.25">
      <c r="B3" s="14">
        <f t="shared" si="0"/>
        <v>3</v>
      </c>
      <c r="C3" s="170"/>
      <c r="D3" s="170"/>
      <c r="E3" s="170"/>
      <c r="F3" s="170"/>
    </row>
    <row r="4" spans="1:8" x14ac:dyDescent="0.25">
      <c r="B4" s="14">
        <f t="shared" si="0"/>
        <v>3</v>
      </c>
      <c r="C4" s="170"/>
      <c r="D4" s="170"/>
      <c r="E4" s="170"/>
      <c r="F4" s="170"/>
    </row>
    <row r="5" spans="1:8" x14ac:dyDescent="0.25">
      <c r="B5" s="14">
        <f t="shared" si="0"/>
        <v>3</v>
      </c>
      <c r="C5" s="170"/>
      <c r="D5" s="170"/>
      <c r="E5" s="170"/>
      <c r="F5" s="170"/>
    </row>
    <row r="6" spans="1:8" x14ac:dyDescent="0.25">
      <c r="B6" s="14">
        <f t="shared" si="0"/>
        <v>3</v>
      </c>
      <c r="C6" s="170"/>
      <c r="D6" s="170"/>
      <c r="E6" s="170"/>
      <c r="F6" s="170"/>
    </row>
    <row r="7" spans="1:8" x14ac:dyDescent="0.25">
      <c r="B7" s="14">
        <f t="shared" si="0"/>
        <v>3</v>
      </c>
      <c r="C7" s="170"/>
      <c r="D7" s="170"/>
      <c r="E7" s="170"/>
      <c r="F7" s="170"/>
    </row>
    <row r="8" spans="1:8" x14ac:dyDescent="0.25">
      <c r="B8" s="14">
        <f t="shared" si="0"/>
        <v>3</v>
      </c>
    </row>
    <row r="9" spans="1:8" x14ac:dyDescent="0.25">
      <c r="B9" s="14">
        <f t="shared" si="0"/>
        <v>3</v>
      </c>
    </row>
    <row r="10" spans="1:8" ht="15.75" customHeight="1" x14ac:dyDescent="0.25">
      <c r="B10" s="14">
        <f t="shared" si="0"/>
        <v>3</v>
      </c>
      <c r="C10" s="17"/>
      <c r="D10" s="17"/>
      <c r="E10" s="17"/>
      <c r="F10" s="17"/>
    </row>
    <row r="11" spans="1:8" x14ac:dyDescent="0.25">
      <c r="B11" s="14">
        <f t="shared" si="0"/>
        <v>3</v>
      </c>
      <c r="C11" s="17"/>
      <c r="D11" s="17"/>
      <c r="E11" s="17"/>
      <c r="F11" s="17"/>
    </row>
    <row r="12" spans="1:8" x14ac:dyDescent="0.25">
      <c r="B12" s="14">
        <f t="shared" si="0"/>
        <v>3</v>
      </c>
      <c r="C12" s="17"/>
      <c r="D12" s="17"/>
      <c r="E12" s="17"/>
      <c r="F12" s="17"/>
    </row>
    <row r="13" spans="1:8" x14ac:dyDescent="0.25">
      <c r="B13" s="14">
        <f t="shared" si="0"/>
        <v>3</v>
      </c>
      <c r="C13" s="17"/>
      <c r="D13" s="17"/>
      <c r="E13" s="17"/>
      <c r="F13" s="17"/>
    </row>
    <row r="14" spans="1:8" x14ac:dyDescent="0.25">
      <c r="B14" s="14">
        <f t="shared" si="0"/>
        <v>3</v>
      </c>
      <c r="C14" s="17"/>
      <c r="D14" s="17"/>
      <c r="E14" s="17"/>
      <c r="F14" s="17"/>
    </row>
    <row r="15" spans="1:8" ht="18.75" customHeight="1" x14ac:dyDescent="0.25">
      <c r="B15" s="14">
        <f t="shared" si="0"/>
        <v>3</v>
      </c>
      <c r="C15" s="17"/>
      <c r="D15" s="17"/>
      <c r="E15" s="17"/>
      <c r="F15" s="17"/>
    </row>
    <row r="16" spans="1:8" x14ac:dyDescent="0.25">
      <c r="B16" s="14">
        <f t="shared" si="0"/>
        <v>3</v>
      </c>
    </row>
    <row r="17" spans="2:2" x14ac:dyDescent="0.25">
      <c r="B17" s="14">
        <f t="shared" si="0"/>
        <v>3</v>
      </c>
    </row>
    <row r="18" spans="2:2" x14ac:dyDescent="0.25">
      <c r="B18" s="14">
        <f t="shared" si="0"/>
        <v>3</v>
      </c>
    </row>
    <row r="19" spans="2:2" x14ac:dyDescent="0.25">
      <c r="B19" s="14">
        <f t="shared" si="0"/>
        <v>3</v>
      </c>
    </row>
    <row r="20" spans="2:2" x14ac:dyDescent="0.25">
      <c r="B20" s="14">
        <f t="shared" si="0"/>
        <v>3</v>
      </c>
    </row>
    <row r="21" spans="2:2" x14ac:dyDescent="0.25">
      <c r="B21" s="14">
        <f t="shared" si="0"/>
        <v>3</v>
      </c>
    </row>
    <row r="22" spans="2:2" x14ac:dyDescent="0.25">
      <c r="B22" s="14">
        <f t="shared" si="0"/>
        <v>3</v>
      </c>
    </row>
    <row r="23" spans="2:2" x14ac:dyDescent="0.25">
      <c r="B23" s="14">
        <f t="shared" si="0"/>
        <v>3</v>
      </c>
    </row>
    <row r="24" spans="2:2" x14ac:dyDescent="0.25">
      <c r="B24" s="14">
        <f t="shared" si="0"/>
        <v>3</v>
      </c>
    </row>
    <row r="26" spans="2:2" x14ac:dyDescent="0.25">
      <c r="B26" s="22" t="s">
        <v>62</v>
      </c>
    </row>
    <row r="27" spans="2:2" ht="18.75" customHeight="1" x14ac:dyDescent="0.25"/>
    <row r="28" spans="2:2" ht="16.5" customHeight="1" x14ac:dyDescent="0.25">
      <c r="B28" s="14">
        <f t="shared" ref="B28:B33" si="1">$H$2</f>
        <v>3</v>
      </c>
    </row>
    <row r="29" spans="2:2" ht="16.5" customHeight="1" x14ac:dyDescent="0.25">
      <c r="B29" s="14">
        <f t="shared" si="1"/>
        <v>3</v>
      </c>
    </row>
    <row r="30" spans="2:2" ht="16.5" customHeight="1" x14ac:dyDescent="0.25">
      <c r="B30" s="14">
        <f t="shared" si="1"/>
        <v>3</v>
      </c>
    </row>
    <row r="31" spans="2:2" ht="16.5" customHeight="1" x14ac:dyDescent="0.25">
      <c r="B31" s="14">
        <f t="shared" si="1"/>
        <v>3</v>
      </c>
    </row>
    <row r="32" spans="2:2" ht="16.5" customHeight="1" x14ac:dyDescent="0.25">
      <c r="B32" s="14">
        <f t="shared" si="1"/>
        <v>3</v>
      </c>
    </row>
    <row r="33" spans="2:2" x14ac:dyDescent="0.25">
      <c r="B33" s="14">
        <f t="shared" si="1"/>
        <v>3</v>
      </c>
    </row>
    <row r="36" spans="2:2" x14ac:dyDescent="0.25">
      <c r="B36" s="21"/>
    </row>
  </sheetData>
  <sheetProtection sheet="1" objects="1" scenarios="1" selectLockedCells="1"/>
  <mergeCells count="2">
    <mergeCell ref="B1:G1"/>
    <mergeCell ref="C2:F7"/>
  </mergeCells>
  <conditionalFormatting sqref="B2">
    <cfRule type="cellIs" dxfId="33" priority="33" operator="equal">
      <formula>1</formula>
    </cfRule>
  </conditionalFormatting>
  <conditionalFormatting sqref="B3">
    <cfRule type="cellIs" dxfId="32" priority="34" operator="between">
      <formula>1</formula>
      <formula>2</formula>
    </cfRule>
  </conditionalFormatting>
  <conditionalFormatting sqref="B4">
    <cfRule type="cellIs" dxfId="31" priority="35" operator="between">
      <formula>1</formula>
      <formula>3</formula>
    </cfRule>
  </conditionalFormatting>
  <conditionalFormatting sqref="B5">
    <cfRule type="cellIs" dxfId="30" priority="36" operator="between">
      <formula>1</formula>
      <formula>4</formula>
    </cfRule>
  </conditionalFormatting>
  <conditionalFormatting sqref="B6">
    <cfRule type="cellIs" dxfId="29" priority="37" operator="equal">
      <formula>5</formula>
    </cfRule>
  </conditionalFormatting>
  <conditionalFormatting sqref="B6:B7">
    <cfRule type="cellIs" dxfId="28" priority="38" operator="between">
      <formula>1</formula>
      <formula>3</formula>
    </cfRule>
  </conditionalFormatting>
  <conditionalFormatting sqref="B7">
    <cfRule type="cellIs" dxfId="27" priority="41" operator="between">
      <formula>5</formula>
      <formula>6</formula>
    </cfRule>
  </conditionalFormatting>
  <conditionalFormatting sqref="B8">
    <cfRule type="cellIs" dxfId="26" priority="46" operator="between">
      <formula>1</formula>
      <formula>7</formula>
    </cfRule>
  </conditionalFormatting>
  <conditionalFormatting sqref="B9">
    <cfRule type="cellIs" dxfId="25" priority="47" operator="between">
      <formula>1</formula>
      <formula>8</formula>
    </cfRule>
  </conditionalFormatting>
  <conditionalFormatting sqref="B10:B15">
    <cfRule type="cellIs" dxfId="24" priority="48" operator="between">
      <formula>1</formula>
      <formula>3</formula>
    </cfRule>
  </conditionalFormatting>
  <conditionalFormatting sqref="B11">
    <cfRule type="cellIs" dxfId="23" priority="32" operator="equal">
      <formula>10</formula>
    </cfRule>
  </conditionalFormatting>
  <conditionalFormatting sqref="B12">
    <cfRule type="cellIs" dxfId="22" priority="31" operator="equal">
      <formula>11</formula>
    </cfRule>
  </conditionalFormatting>
  <conditionalFormatting sqref="B13">
    <cfRule type="cellIs" dxfId="21" priority="30" operator="equal">
      <formula>12</formula>
    </cfRule>
  </conditionalFormatting>
  <conditionalFormatting sqref="B14">
    <cfRule type="cellIs" dxfId="20" priority="29" operator="equal">
      <formula>13</formula>
    </cfRule>
  </conditionalFormatting>
  <conditionalFormatting sqref="B15">
    <cfRule type="cellIs" dxfId="19" priority="28" operator="equal">
      <formula>14</formula>
    </cfRule>
  </conditionalFormatting>
  <conditionalFormatting sqref="B16">
    <cfRule type="cellIs" dxfId="18" priority="26" operator="between">
      <formula>9</formula>
      <formula>15</formula>
    </cfRule>
  </conditionalFormatting>
  <conditionalFormatting sqref="B16:B22">
    <cfRule type="cellIs" dxfId="17" priority="15" operator="between">
      <formula>1</formula>
      <formula>7</formula>
    </cfRule>
  </conditionalFormatting>
  <conditionalFormatting sqref="B17">
    <cfRule type="cellIs" dxfId="16" priority="23" operator="equal">
      <formula>16</formula>
    </cfRule>
  </conditionalFormatting>
  <conditionalFormatting sqref="B17:B18">
    <cfRule type="cellIs" dxfId="15" priority="24" operator="between">
      <formula>9</formula>
      <formula>16</formula>
    </cfRule>
  </conditionalFormatting>
  <conditionalFormatting sqref="B18">
    <cfRule type="cellIs" dxfId="14" priority="22" operator="equal">
      <formula>17</formula>
    </cfRule>
  </conditionalFormatting>
  <conditionalFormatting sqref="B18:B21">
    <cfRule type="cellIs" dxfId="13" priority="8" operator="between">
      <formula>22</formula>
      <formula>23</formula>
    </cfRule>
  </conditionalFormatting>
  <conditionalFormatting sqref="B19">
    <cfRule type="cellIs" dxfId="12" priority="20" operator="between">
      <formula>9</formula>
      <formula>18</formula>
    </cfRule>
  </conditionalFormatting>
  <conditionalFormatting sqref="B20">
    <cfRule type="cellIs" dxfId="11" priority="18" operator="between">
      <formula>9</formula>
      <formula>19</formula>
    </cfRule>
  </conditionalFormatting>
  <conditionalFormatting sqref="B21">
    <cfRule type="cellIs" dxfId="10" priority="16" operator="between">
      <formula>9</formula>
      <formula>20</formula>
    </cfRule>
  </conditionalFormatting>
  <conditionalFormatting sqref="B22">
    <cfRule type="cellIs" dxfId="9" priority="14" operator="between">
      <formula>9</formula>
      <formula>21</formula>
    </cfRule>
    <cfRule type="cellIs" dxfId="8" priority="7" operator="between">
      <formula>22</formula>
      <formula>23</formula>
    </cfRule>
  </conditionalFormatting>
  <conditionalFormatting sqref="B23">
    <cfRule type="cellIs" dxfId="7" priority="12" operator="equal">
      <formula>22</formula>
    </cfRule>
  </conditionalFormatting>
  <conditionalFormatting sqref="B24">
    <cfRule type="cellIs" dxfId="6" priority="13" operator="between">
      <formula>22</formula>
      <formula>23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2.28515625" style="95" customWidth="1"/>
  </cols>
  <sheetData>
    <row r="1" spans="1:17" ht="27.75" customHeight="1" x14ac:dyDescent="0.25">
      <c r="A1" s="26" t="s">
        <v>43</v>
      </c>
      <c r="B1" s="173" t="s">
        <v>120</v>
      </c>
      <c r="C1" s="173"/>
      <c r="D1" s="173"/>
      <c r="E1" s="173"/>
      <c r="F1" s="173"/>
      <c r="G1" s="173"/>
      <c r="H1" s="173"/>
      <c r="I1" s="173"/>
      <c r="K1" s="173" t="s">
        <v>1</v>
      </c>
      <c r="M1" s="172" t="s">
        <v>116</v>
      </c>
      <c r="N1" s="172"/>
      <c r="O1" s="172"/>
      <c r="P1" s="172"/>
    </row>
    <row r="2" spans="1:17" ht="30" customHeight="1" x14ac:dyDescent="0.25">
      <c r="A2" s="69"/>
      <c r="B2" s="171" t="s">
        <v>114</v>
      </c>
      <c r="C2" s="171"/>
      <c r="D2" s="171"/>
      <c r="E2" s="171"/>
      <c r="F2" s="171"/>
      <c r="G2" s="171"/>
      <c r="H2" s="171"/>
      <c r="I2" s="171"/>
      <c r="K2" s="173"/>
      <c r="M2" s="172"/>
      <c r="N2" s="172"/>
      <c r="O2" s="172"/>
      <c r="P2" s="172"/>
    </row>
    <row r="3" spans="1:17" ht="15" customHeight="1" x14ac:dyDescent="0.25">
      <c r="B3" s="175" t="s">
        <v>117</v>
      </c>
      <c r="C3" s="175"/>
      <c r="D3" s="175"/>
      <c r="E3" s="175"/>
      <c r="F3" s="175"/>
      <c r="G3" s="175"/>
      <c r="H3" s="175"/>
      <c r="I3" s="175"/>
      <c r="K3" s="1"/>
      <c r="M3" s="149" t="s">
        <v>118</v>
      </c>
      <c r="N3" s="149"/>
      <c r="O3" s="149"/>
      <c r="P3" s="149"/>
      <c r="Q3" s="96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8" t="str">
        <f>IF(Q4=FALSE,"","Belvízi géphajón, képesített matrózként legalább 180 nap hajózási idő megléte")</f>
        <v/>
      </c>
      <c r="M4" s="149"/>
      <c r="N4" s="149"/>
      <c r="O4" s="149"/>
      <c r="P4" s="149"/>
      <c r="Q4" s="96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8"/>
      <c r="M5" s="150" t="s">
        <v>7</v>
      </c>
      <c r="N5" s="150"/>
      <c r="O5" s="150"/>
      <c r="P5" s="150"/>
      <c r="Q5" s="96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8"/>
      <c r="M6" s="149" t="s">
        <v>8</v>
      </c>
      <c r="N6" s="149"/>
      <c r="O6" s="149"/>
      <c r="P6" s="149"/>
      <c r="Q6" s="96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8"/>
      <c r="M7" s="149"/>
      <c r="N7" s="149"/>
      <c r="O7" s="149"/>
      <c r="P7" s="149"/>
      <c r="Q7" s="96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8"/>
      <c r="M8" s="150" t="s">
        <v>110</v>
      </c>
      <c r="N8" s="150"/>
      <c r="O8" s="150"/>
      <c r="P8" s="150"/>
      <c r="Q8" s="96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8"/>
      <c r="M9" s="167" t="str">
        <f>IF(Q4=TRUE,"","Jóváhagyott hajós képzésben tett sikeres matróz-gépkezelői vizsga letétele")</f>
        <v>Jóváhagyott hajós képzésben tett sikeres matróz-gépkezelői vizsga letétele</v>
      </c>
      <c r="N9" s="168"/>
      <c r="O9" s="168"/>
      <c r="P9" s="169"/>
      <c r="Q9" s="96"/>
    </row>
    <row r="10" spans="1:17" ht="17.25" customHeight="1" x14ac:dyDescent="0.25">
      <c r="M10" s="167"/>
      <c r="N10" s="168"/>
      <c r="O10" s="168"/>
      <c r="P10" s="169"/>
    </row>
    <row r="11" spans="1:17" ht="21.75" customHeight="1" x14ac:dyDescent="0.25">
      <c r="M11" s="174" t="s">
        <v>121</v>
      </c>
      <c r="N11" s="174"/>
      <c r="O11" s="174"/>
      <c r="P11" s="174"/>
    </row>
    <row r="12" spans="1:17" x14ac:dyDescent="0.25">
      <c r="K12" s="1" t="s">
        <v>119</v>
      </c>
    </row>
    <row r="13" spans="1:17" s="2" customFormat="1" ht="84.75" customHeight="1" x14ac:dyDescent="0.25">
      <c r="A13"/>
      <c r="B13" s="176" t="str">
        <f>IF(Q4=FALSE,"","Géptani alapismeretekkel akkor rendelkezik a jelölt, ha olyan közoktatási rendszerű képzésben vett részt (autószerelő, gépész), amely igazolhatóan géptani ismeretekhez kötött, és amely a végzettséget igazoló dokumentummal bizonyítható")</f>
        <v/>
      </c>
      <c r="C13" s="176"/>
      <c r="D13" s="176"/>
      <c r="E13" s="176"/>
      <c r="F13" s="176"/>
      <c r="G13" s="176"/>
      <c r="H13" s="176"/>
      <c r="I13" s="176"/>
      <c r="K13" s="10">
        <f>KEZDŐLAP!F32</f>
        <v>8700</v>
      </c>
      <c r="L13"/>
      <c r="M13" s="170"/>
      <c r="N13" s="170"/>
      <c r="O13" s="170"/>
      <c r="P13" s="170"/>
      <c r="Q13" s="97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  <c r="Q14" s="97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  <c r="Q15" s="98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3" t="s">
        <v>122</v>
      </c>
      <c r="C1" s="173"/>
      <c r="D1" s="173"/>
      <c r="E1" s="173"/>
      <c r="F1" s="173"/>
      <c r="G1" s="173"/>
      <c r="H1" s="173"/>
      <c r="I1" s="173"/>
      <c r="K1" s="173" t="s">
        <v>1</v>
      </c>
      <c r="M1" s="172" t="s">
        <v>278</v>
      </c>
      <c r="N1" s="172"/>
      <c r="O1" s="172"/>
      <c r="P1" s="172"/>
    </row>
    <row r="2" spans="1:17" ht="30" customHeight="1" x14ac:dyDescent="0.25">
      <c r="A2" s="69"/>
      <c r="B2" s="171" t="s">
        <v>114</v>
      </c>
      <c r="C2" s="171"/>
      <c r="D2" s="171"/>
      <c r="E2" s="171"/>
      <c r="F2" s="171"/>
      <c r="G2" s="171"/>
      <c r="H2" s="171"/>
      <c r="I2" s="171"/>
      <c r="K2" s="173"/>
      <c r="M2" s="172"/>
      <c r="N2" s="172"/>
      <c r="O2" s="172"/>
      <c r="P2" s="172"/>
    </row>
    <row r="3" spans="1:17" ht="15" customHeight="1" x14ac:dyDescent="0.25">
      <c r="B3" s="175" t="s">
        <v>117</v>
      </c>
      <c r="C3" s="175"/>
      <c r="D3" s="175"/>
      <c r="E3" s="175"/>
      <c r="F3" s="175"/>
      <c r="G3" s="175"/>
      <c r="H3" s="175"/>
      <c r="I3" s="175"/>
      <c r="K3" s="1"/>
      <c r="M3" s="174" t="s">
        <v>279</v>
      </c>
      <c r="N3" s="174"/>
      <c r="O3" s="174"/>
      <c r="P3" s="174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8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74"/>
      <c r="N4" s="174"/>
      <c r="O4" s="174"/>
      <c r="P4" s="174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8"/>
      <c r="M5" s="150" t="s">
        <v>7</v>
      </c>
      <c r="N5" s="150"/>
      <c r="O5" s="150"/>
      <c r="P5" s="150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8"/>
      <c r="M6" s="149" t="s">
        <v>8</v>
      </c>
      <c r="N6" s="149"/>
      <c r="O6" s="149"/>
      <c r="P6" s="149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8"/>
      <c r="M7" s="149"/>
      <c r="N7" s="149"/>
      <c r="O7" s="149"/>
      <c r="P7" s="149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8"/>
      <c r="M8" s="150" t="s">
        <v>110</v>
      </c>
      <c r="N8" s="150"/>
      <c r="O8" s="150"/>
      <c r="P8" s="150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8"/>
      <c r="M9" s="167"/>
      <c r="N9" s="168"/>
      <c r="O9" s="168"/>
      <c r="P9" s="169"/>
      <c r="Q9" s="64"/>
    </row>
    <row r="10" spans="1:17" ht="17.25" customHeight="1" x14ac:dyDescent="0.25">
      <c r="M10" s="167"/>
      <c r="N10" s="168"/>
      <c r="O10" s="168"/>
      <c r="P10" s="169"/>
    </row>
    <row r="11" spans="1:17" ht="21.75" customHeight="1" x14ac:dyDescent="0.25">
      <c r="M11" s="174" t="str">
        <f>IF(Q4=FALSE,"Matróz képesítés","Képesített matróz képesítés")</f>
        <v>Matróz képesítés</v>
      </c>
      <c r="N11" s="174"/>
      <c r="O11" s="174"/>
      <c r="P11" s="174"/>
    </row>
    <row r="12" spans="1:17" x14ac:dyDescent="0.25">
      <c r="K12" s="1" t="s">
        <v>119</v>
      </c>
    </row>
    <row r="13" spans="1:17" s="2" customFormat="1" ht="54.75" customHeight="1" x14ac:dyDescent="0.25">
      <c r="A13"/>
      <c r="B13" s="176"/>
      <c r="C13" s="176"/>
      <c r="D13" s="176"/>
      <c r="E13" s="176"/>
      <c r="F13" s="176"/>
      <c r="G13" s="176"/>
      <c r="H13" s="176"/>
      <c r="I13" s="176"/>
      <c r="K13" s="10">
        <f>KEZDŐLAP!F30</f>
        <v>6500</v>
      </c>
      <c r="L13"/>
      <c r="M13" s="170"/>
      <c r="N13" s="170"/>
      <c r="O13" s="170"/>
      <c r="P13" s="170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6.8554687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140625" customWidth="1"/>
  </cols>
  <sheetData>
    <row r="1" spans="1:16" ht="18" customHeight="1" x14ac:dyDescent="0.25">
      <c r="A1" s="26" t="s">
        <v>43</v>
      </c>
      <c r="B1" s="146" t="s">
        <v>16</v>
      </c>
      <c r="C1" s="146"/>
      <c r="D1" s="146"/>
      <c r="E1" s="146"/>
      <c r="F1" s="146"/>
      <c r="G1" s="146"/>
      <c r="H1" s="146"/>
      <c r="J1" s="5" t="s">
        <v>1</v>
      </c>
      <c r="L1" s="146" t="s">
        <v>6</v>
      </c>
      <c r="M1" s="146"/>
      <c r="N1" s="146"/>
      <c r="O1" s="146"/>
    </row>
    <row r="2" spans="1:16" ht="15.75" customHeight="1" x14ac:dyDescent="0.25">
      <c r="B2" s="175" t="s">
        <v>61</v>
      </c>
      <c r="C2" s="175"/>
      <c r="D2" s="175"/>
      <c r="E2" s="175"/>
      <c r="F2" s="175"/>
      <c r="G2" s="175"/>
      <c r="H2" s="175"/>
      <c r="J2" s="1"/>
      <c r="P2" s="6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48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74" t="str">
        <f>IF(H21&gt;0,"Írásos vizsgajelentkezési/felmentési kérelem","Okmányigénylés és fotó benyújtása")</f>
        <v>Írásos vizsgajelentkezési/felmentési kérelem</v>
      </c>
      <c r="M3" s="174"/>
      <c r="N3" s="174"/>
      <c r="O3" s="174"/>
      <c r="P3" s="62"/>
    </row>
    <row r="4" spans="1:16" x14ac:dyDescent="0.25">
      <c r="B4" s="8"/>
      <c r="C4" s="8"/>
      <c r="D4" s="8"/>
      <c r="E4" s="8"/>
      <c r="F4" s="8"/>
      <c r="G4" s="8"/>
      <c r="H4" s="8"/>
      <c r="J4" s="148"/>
      <c r="L4" s="177" t="s">
        <v>7</v>
      </c>
      <c r="M4" s="177"/>
      <c r="N4" s="177"/>
      <c r="O4" s="177"/>
      <c r="P4" s="6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48"/>
      <c r="L5" s="178" t="s">
        <v>33</v>
      </c>
      <c r="M5" s="179"/>
      <c r="N5" s="179"/>
      <c r="O5" s="180"/>
      <c r="P5" s="6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48"/>
      <c r="L6" s="174" t="s">
        <v>236</v>
      </c>
      <c r="M6" s="174"/>
      <c r="N6" s="174"/>
      <c r="O6" s="174"/>
      <c r="P6" s="6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48"/>
      <c r="L7" s="174"/>
      <c r="M7" s="174"/>
      <c r="N7" s="174"/>
      <c r="O7" s="174"/>
      <c r="P7" s="63" t="b">
        <v>0</v>
      </c>
    </row>
    <row r="8" spans="1:16" ht="31.5" customHeight="1" x14ac:dyDescent="0.25">
      <c r="B8" s="8"/>
      <c r="C8" s="8"/>
      <c r="D8" s="8"/>
      <c r="E8" s="8"/>
      <c r="F8" s="8"/>
      <c r="G8" s="8"/>
      <c r="H8" s="8"/>
      <c r="J8" s="148"/>
      <c r="L8" s="174" t="str">
        <f>IF(H21=0,"",IF(P14=TRUE,"Hajózási szakképzésben szerzett képesítő bizonyítvány","A szolgálati kisgéphajó-vezető vizsga tantárgyait magába foglaló jóváhagyott képzés igazolt elvégzése"))</f>
        <v>A szolgálati kisgéphajó-vezető vizsga tantárgyait magába foglaló jóváhagyott képzés igazolt elvégzése</v>
      </c>
      <c r="M8" s="174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4" t="str">
        <f t="shared" si="0"/>
        <v>A vizsgatárgyakat tartalmazó képzésen való részvétel igazolása</v>
      </c>
      <c r="O8" s="174" t="str">
        <f t="shared" si="0"/>
        <v>A vizsgatárgyakat tartalmazó képzésen való részvétel igazolása</v>
      </c>
      <c r="P8" s="63" t="b">
        <v>0</v>
      </c>
    </row>
    <row r="9" spans="1:16" ht="31.5" customHeight="1" x14ac:dyDescent="0.25">
      <c r="B9" s="8"/>
      <c r="C9" s="8"/>
      <c r="D9" s="8"/>
      <c r="E9" s="8"/>
      <c r="F9" s="8"/>
      <c r="G9" s="8"/>
      <c r="H9" s="8"/>
      <c r="J9" s="148"/>
      <c r="L9" s="174" t="str">
        <f t="shared" si="0"/>
        <v>A vizsgatárgyakat tartalmazó képzésen való részvétel igazolása</v>
      </c>
      <c r="M9" s="174" t="str">
        <f t="shared" si="0"/>
        <v>A vizsgatárgyakat tartalmazó képzésen való részvétel igazolása</v>
      </c>
      <c r="N9" s="174" t="str">
        <f t="shared" si="0"/>
        <v>A vizsgatárgyakat tartalmazó képzésen való részvétel igazolása</v>
      </c>
      <c r="O9" s="174" t="str">
        <f t="shared" si="0"/>
        <v>A vizsgatárgyakat tartalmazó képzésen való részvétel igazolása</v>
      </c>
      <c r="P9" s="6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48"/>
      <c r="L10" s="177" t="s">
        <v>108</v>
      </c>
      <c r="M10" s="177"/>
      <c r="N10" s="177"/>
      <c r="O10" s="177"/>
      <c r="P10" s="6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48"/>
      <c r="L11" s="177"/>
      <c r="M11" s="177"/>
      <c r="N11" s="177"/>
      <c r="O11" s="177"/>
      <c r="P11" s="6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48"/>
      <c r="L12" s="177"/>
      <c r="M12" s="177"/>
      <c r="N12" s="177"/>
      <c r="O12" s="177"/>
      <c r="P12" s="6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81" t="str">
        <f>IF(OR(P11,P14)=TRUE,"Felmentési kérelemhez: képesítő okmány,vizsgajegyzőkönyv, leckekönyv vagy tanterv","")</f>
        <v/>
      </c>
      <c r="M13" s="182"/>
      <c r="N13" s="182"/>
      <c r="O13" s="183"/>
      <c r="P13" s="6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84"/>
      <c r="M14" s="148"/>
      <c r="N14" s="148"/>
      <c r="O14" s="185"/>
      <c r="P14" s="6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86"/>
      <c r="M15" s="187"/>
      <c r="N15" s="187"/>
      <c r="O15" s="188"/>
      <c r="P15" s="63"/>
    </row>
    <row r="16" spans="1:16" ht="15" customHeight="1" x14ac:dyDescent="0.25">
      <c r="L16" s="174" t="str">
        <f>IF(OR(P3,P4,P5,P6,P7,P8,P9,P10,P11,P12,P16,P13)=TRUE,"","Legalább alapfokú iskolai végzettség igazolása")</f>
        <v>Legalább alapfokú iskolai végzettség igazolása</v>
      </c>
      <c r="M16" s="174"/>
      <c r="N16" s="174"/>
      <c r="O16" s="174"/>
      <c r="P16" s="63" t="b">
        <v>0</v>
      </c>
    </row>
    <row r="17" spans="2:16" x14ac:dyDescent="0.25">
      <c r="B17" s="157" t="s">
        <v>13</v>
      </c>
      <c r="C17" s="157"/>
      <c r="D17" s="157"/>
      <c r="E17" s="157"/>
      <c r="F17" s="157"/>
      <c r="G17" s="157"/>
      <c r="H17" s="157"/>
      <c r="J17" s="1" t="s">
        <v>89</v>
      </c>
      <c r="L17" s="174"/>
      <c r="M17" s="174"/>
      <c r="N17" s="174"/>
      <c r="O17" s="174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99600</v>
      </c>
      <c r="K18"/>
      <c r="L18" s="158" t="str">
        <f>IF(P14=TRUE,"Hajózási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8"/>
      <c r="N18" s="158"/>
      <c r="O18" s="158"/>
    </row>
    <row r="19" spans="2:16" s="17" customFormat="1" ht="25.5" customHeight="1" x14ac:dyDescent="0.25">
      <c r="B19" s="87" t="str">
        <f>IF(B20=0,"Felmentés",IF(OR($P$11,$P$14)=TRUE,"Felmentés/vizsga","Vizsga"))</f>
        <v>Vizsga</v>
      </c>
      <c r="C19" s="87" t="str">
        <f t="shared" ref="C19:G19" si="1">IF(C20=0,"Felmentés",IF(OR($P$11,$P$14)=TRUE,"Felmentés/vizsga","Vizsga"))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>IF(H20=0,"Felmentés","Vizsga")</f>
        <v>Vizsga</v>
      </c>
      <c r="I19" s="99" t="s">
        <v>85</v>
      </c>
      <c r="L19" s="189" t="s">
        <v>39</v>
      </c>
      <c r="M19" s="189"/>
      <c r="N19" s="189"/>
      <c r="O19" s="189"/>
    </row>
    <row r="20" spans="2:16" s="1" customFormat="1" x14ac:dyDescent="0.25">
      <c r="B20" s="4">
        <f>IF(OR($P$4,$P$5,$P$8,$P$10,$P$13)=TRUE,0,KEZDŐLAP!F25)</f>
        <v>10800</v>
      </c>
      <c r="C20" s="4">
        <f>IF(OR($P$4,$P$5,$P$8,$P$10,$P$13)=TRUE,0,KEZDŐLAP!F25)</f>
        <v>10800</v>
      </c>
      <c r="D20" s="4">
        <f>IF(OR(P4,P6,P8,P12,P13)=TRUE,0,KEZDŐLAP!F25)</f>
        <v>10800</v>
      </c>
      <c r="E20" s="4">
        <f>IF(OR(P4,P6,P16,P10,P12,P13)=TRUE,0,KEZDŐLAP!F25)</f>
        <v>10800</v>
      </c>
      <c r="F20" s="4">
        <f>IF(OR(P4,P10,P13)=TRUE,0,KEZDŐLAP!F25)</f>
        <v>10800</v>
      </c>
      <c r="G20" s="4">
        <f>IF(OR(P4,P9,P16,P8,P10,P12,P13,P5)=TRUE,0,KEZDŐLAP!F25)</f>
        <v>10800</v>
      </c>
      <c r="H20" s="4">
        <f>IF(P13=TRUE,0,KEZDŐLAP!F29)</f>
        <v>28300</v>
      </c>
      <c r="I20" s="41">
        <f>KEZDŐLAP!F30</f>
        <v>6500</v>
      </c>
      <c r="K20" s="2"/>
      <c r="L20" s="189"/>
      <c r="M20" s="189"/>
      <c r="N20" s="189"/>
      <c r="O20" s="189"/>
    </row>
    <row r="21" spans="2:16" x14ac:dyDescent="0.25">
      <c r="C21" s="38"/>
      <c r="G21" s="44" t="s">
        <v>86</v>
      </c>
      <c r="H21" s="33">
        <f>SUM(B20:H20)</f>
        <v>93100</v>
      </c>
      <c r="L21" s="189"/>
      <c r="M21" s="189"/>
      <c r="N21" s="189"/>
      <c r="O21" s="189"/>
    </row>
    <row r="22" spans="2:16" ht="15.75" x14ac:dyDescent="0.25">
      <c r="B22" s="16"/>
      <c r="L22" s="189"/>
      <c r="M22" s="189"/>
      <c r="N22" s="189"/>
      <c r="O22" s="189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H17:I17 K17:O17 C21 A16:A20 L18:L19 H18:K20 M18:O20 B1:G20" name="Tartomány1"/>
    <protectedRange password="EFFA" sqref="J17" name="Tartomány1_1"/>
  </protectedRanges>
  <mergeCells count="17">
    <mergeCell ref="L16:O17"/>
    <mergeCell ref="L13:O15"/>
    <mergeCell ref="L18:O18"/>
    <mergeCell ref="B17:H17"/>
    <mergeCell ref="L19:O22"/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</mergeCells>
  <conditionalFormatting sqref="B19:H19">
    <cfRule type="containsText" dxfId="81" priority="1" operator="containsText" text="Vizsga">
      <formula>NOT(ISERROR(SEARCH("Vizsga",B19)))</formula>
    </cfRule>
    <cfRule type="containsText" dxfId="80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104775</xdr:rowOff>
                  </from>
                  <to>
                    <xdr:col>6</xdr:col>
                    <xdr:colOff>47625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114300</xdr:rowOff>
                  </from>
                  <to>
                    <xdr:col>7</xdr:col>
                    <xdr:colOff>1076325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6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95250</xdr:rowOff>
                  </from>
                  <to>
                    <xdr:col>4</xdr:col>
                    <xdr:colOff>1000125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57150</xdr:rowOff>
                  </from>
                  <to>
                    <xdr:col>6</xdr:col>
                    <xdr:colOff>47625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19050</xdr:rowOff>
                  </from>
                  <to>
                    <xdr:col>4</xdr:col>
                    <xdr:colOff>885825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247650</xdr:rowOff>
                  </from>
                  <to>
                    <xdr:col>4</xdr:col>
                    <xdr:colOff>885825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66675</xdr:rowOff>
                  </from>
                  <to>
                    <xdr:col>4</xdr:col>
                    <xdr:colOff>885825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66675</xdr:rowOff>
                  </from>
                  <to>
                    <xdr:col>4</xdr:col>
                    <xdr:colOff>885825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161925</xdr:rowOff>
                  </from>
                  <to>
                    <xdr:col>6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123825</xdr:rowOff>
                  </from>
                  <to>
                    <xdr:col>6</xdr:col>
                    <xdr:colOff>609600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295275</xdr:rowOff>
                  </from>
                  <to>
                    <xdr:col>4</xdr:col>
                    <xdr:colOff>885825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7.14062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42578125" customWidth="1"/>
  </cols>
  <sheetData>
    <row r="1" spans="1:16" ht="18" customHeight="1" x14ac:dyDescent="0.25">
      <c r="A1" s="26" t="s">
        <v>43</v>
      </c>
      <c r="B1" s="146" t="s">
        <v>0</v>
      </c>
      <c r="C1" s="146"/>
      <c r="D1" s="146"/>
      <c r="E1" s="146"/>
      <c r="F1" s="146"/>
      <c r="G1" s="146"/>
      <c r="H1" s="146"/>
      <c r="J1" s="5" t="s">
        <v>1</v>
      </c>
      <c r="L1" s="146" t="s">
        <v>6</v>
      </c>
      <c r="M1" s="146"/>
      <c r="N1" s="146"/>
      <c r="O1" s="146"/>
    </row>
    <row r="2" spans="1:16" ht="19.5" customHeight="1" x14ac:dyDescent="0.25">
      <c r="B2" s="175" t="s">
        <v>61</v>
      </c>
      <c r="C2" s="175"/>
      <c r="D2" s="175"/>
      <c r="E2" s="175"/>
      <c r="F2" s="175"/>
      <c r="G2" s="175"/>
      <c r="H2" s="175"/>
      <c r="J2" s="1"/>
      <c r="P2" s="61"/>
    </row>
    <row r="3" spans="1:16" ht="19.5" customHeight="1" x14ac:dyDescent="0.25">
      <c r="B3" s="8"/>
      <c r="C3" s="8"/>
      <c r="D3" s="8"/>
      <c r="E3" s="8"/>
      <c r="F3" s="8"/>
      <c r="G3" s="8"/>
      <c r="H3" s="8"/>
      <c r="J3" s="148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74" t="str">
        <f>IF(H21&gt;0,"Írásos vizsgajelentkezési/felmentési kérelem","Okmányigénylés és fotó benyújtása")</f>
        <v>Írásos vizsgajelentkezési/felmentési kérelem</v>
      </c>
      <c r="M3" s="174"/>
      <c r="N3" s="174"/>
      <c r="O3" s="174"/>
      <c r="P3" s="62"/>
    </row>
    <row r="4" spans="1:16" ht="19.5" customHeight="1" x14ac:dyDescent="0.25">
      <c r="B4" s="8"/>
      <c r="C4" s="8"/>
      <c r="D4" s="8"/>
      <c r="E4" s="8"/>
      <c r="F4" s="8"/>
      <c r="G4" s="8"/>
      <c r="H4" s="8"/>
      <c r="J4" s="148"/>
      <c r="L4" s="177" t="s">
        <v>7</v>
      </c>
      <c r="M4" s="177"/>
      <c r="N4" s="177"/>
      <c r="O4" s="177"/>
      <c r="P4" s="63" t="b">
        <v>0</v>
      </c>
    </row>
    <row r="5" spans="1:16" ht="19.5" customHeight="1" x14ac:dyDescent="0.25">
      <c r="B5" s="8"/>
      <c r="C5" s="8"/>
      <c r="D5" s="8"/>
      <c r="E5" s="8"/>
      <c r="F5" s="8"/>
      <c r="G5" s="8"/>
      <c r="H5" s="8"/>
      <c r="J5" s="148"/>
      <c r="L5" s="178" t="s">
        <v>33</v>
      </c>
      <c r="M5" s="179"/>
      <c r="N5" s="179"/>
      <c r="O5" s="180"/>
      <c r="P5" s="63" t="b">
        <v>0</v>
      </c>
    </row>
    <row r="6" spans="1:16" ht="19.5" customHeight="1" x14ac:dyDescent="0.25">
      <c r="B6" s="8"/>
      <c r="C6" s="8"/>
      <c r="D6" s="8"/>
      <c r="E6" s="8"/>
      <c r="F6" s="8"/>
      <c r="G6" s="8"/>
      <c r="H6" s="8"/>
      <c r="J6" s="148"/>
      <c r="L6" s="174" t="s">
        <v>8</v>
      </c>
      <c r="M6" s="174"/>
      <c r="N6" s="174"/>
      <c r="O6" s="174"/>
      <c r="P6" s="63" t="b">
        <v>0</v>
      </c>
    </row>
    <row r="7" spans="1:16" ht="19.5" customHeight="1" x14ac:dyDescent="0.25">
      <c r="B7" s="8"/>
      <c r="C7" s="8"/>
      <c r="D7" s="8"/>
      <c r="E7" s="8"/>
      <c r="F7" s="8"/>
      <c r="G7" s="8"/>
      <c r="H7" s="8"/>
      <c r="J7" s="148"/>
      <c r="L7" s="174"/>
      <c r="M7" s="174"/>
      <c r="N7" s="174"/>
      <c r="O7" s="174"/>
      <c r="P7" s="63" t="b">
        <v>0</v>
      </c>
    </row>
    <row r="8" spans="1:16" ht="19.5" customHeight="1" x14ac:dyDescent="0.25">
      <c r="B8" s="8"/>
      <c r="C8" s="8"/>
      <c r="D8" s="8"/>
      <c r="E8" s="8"/>
      <c r="F8" s="8"/>
      <c r="G8" s="8"/>
      <c r="H8" s="8"/>
      <c r="J8" s="148"/>
      <c r="L8" s="174" t="str">
        <f>IF(H21=0,"",IF($P$11=TRUE,"Képesítés, bizonyítvány, oklevél bemutatása","A vizsgatárgyakat tartalmazó, jóváhagyott képzésen való részvétel igazolása"))</f>
        <v>A vizsgatárgyakat tartalmazó, jóváhagyott képzésen való részvétel igazolása</v>
      </c>
      <c r="M8" s="174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4" t="str">
        <f t="shared" si="0"/>
        <v>A vizsgatárgyakat tartalmazó képzésen való részvétel igazolása</v>
      </c>
      <c r="O8" s="174" t="str">
        <f t="shared" si="0"/>
        <v>A vizsgatárgyakat tartalmazó képzésen való részvétel igazolása</v>
      </c>
      <c r="P8" s="63" t="b">
        <v>0</v>
      </c>
    </row>
    <row r="9" spans="1:16" ht="19.5" customHeight="1" x14ac:dyDescent="0.25">
      <c r="B9" s="8"/>
      <c r="C9" s="8"/>
      <c r="D9" s="8"/>
      <c r="E9" s="8"/>
      <c r="F9" s="8"/>
      <c r="G9" s="8"/>
      <c r="H9" s="8"/>
      <c r="J9" s="148"/>
      <c r="L9" s="174" t="str">
        <f t="shared" si="0"/>
        <v>A vizsgatárgyakat tartalmazó képzésen való részvétel igazolása</v>
      </c>
      <c r="M9" s="174" t="str">
        <f t="shared" si="0"/>
        <v>A vizsgatárgyakat tartalmazó képzésen való részvétel igazolása</v>
      </c>
      <c r="N9" s="174" t="str">
        <f t="shared" si="0"/>
        <v>A vizsgatárgyakat tartalmazó képzésen való részvétel igazolása</v>
      </c>
      <c r="O9" s="174" t="str">
        <f t="shared" si="0"/>
        <v>A vizsgatárgyakat tartalmazó képzésen való részvétel igazolása</v>
      </c>
      <c r="P9" s="63" t="b">
        <v>0</v>
      </c>
    </row>
    <row r="10" spans="1:16" ht="19.5" customHeight="1" x14ac:dyDescent="0.25">
      <c r="B10" s="8"/>
      <c r="C10" s="8"/>
      <c r="D10" s="8"/>
      <c r="E10" s="8"/>
      <c r="F10" s="8"/>
      <c r="G10" s="8"/>
      <c r="H10" s="8"/>
      <c r="I10" s="9"/>
      <c r="J10" s="148"/>
      <c r="L10" s="177" t="s">
        <v>108</v>
      </c>
      <c r="M10" s="177"/>
      <c r="N10" s="177"/>
      <c r="O10" s="177"/>
      <c r="P10" s="63" t="b">
        <v>0</v>
      </c>
    </row>
    <row r="11" spans="1:16" ht="19.5" customHeight="1" x14ac:dyDescent="0.25">
      <c r="B11" s="8"/>
      <c r="C11" s="8"/>
      <c r="D11" s="8"/>
      <c r="E11" s="8"/>
      <c r="F11" s="8"/>
      <c r="G11" s="8"/>
      <c r="H11" s="8"/>
      <c r="J11" s="148"/>
      <c r="L11" s="177"/>
      <c r="M11" s="177"/>
      <c r="N11" s="177"/>
      <c r="O11" s="177"/>
      <c r="P11" s="63" t="b">
        <v>0</v>
      </c>
    </row>
    <row r="12" spans="1:16" ht="19.5" customHeight="1" x14ac:dyDescent="0.25">
      <c r="B12" s="8"/>
      <c r="C12" s="8"/>
      <c r="D12" s="8"/>
      <c r="E12" s="8"/>
      <c r="F12" s="8"/>
      <c r="G12" s="8"/>
      <c r="H12" s="8"/>
      <c r="J12" s="148"/>
      <c r="L12" s="177"/>
      <c r="M12" s="177"/>
      <c r="N12" s="177"/>
      <c r="O12" s="177"/>
      <c r="P12" s="63" t="b">
        <v>0</v>
      </c>
    </row>
    <row r="13" spans="1:16" ht="19.5" customHeight="1" x14ac:dyDescent="0.25">
      <c r="B13" s="8"/>
      <c r="C13" s="8"/>
      <c r="D13" s="8"/>
      <c r="E13" s="8"/>
      <c r="F13" s="8"/>
      <c r="G13" s="8"/>
      <c r="H13" s="8"/>
      <c r="J13" s="11"/>
      <c r="L13" s="181" t="str">
        <f>IF(OR(P15,P11)=TRUE,"Felmentési kérelemhez: képesítő okmány,vizsgajegyzőkönyv, leckekönyv vagy tanterv","")</f>
        <v/>
      </c>
      <c r="M13" s="182"/>
      <c r="N13" s="182"/>
      <c r="O13" s="183"/>
      <c r="P13" s="63" t="b">
        <v>0</v>
      </c>
    </row>
    <row r="14" spans="1:16" ht="19.5" customHeight="1" x14ac:dyDescent="0.25">
      <c r="B14" s="8"/>
      <c r="C14" s="8"/>
      <c r="D14" s="8"/>
      <c r="E14" s="8"/>
      <c r="F14" s="8"/>
      <c r="G14" s="8"/>
      <c r="H14" s="8"/>
      <c r="J14" s="11"/>
      <c r="L14" s="184"/>
      <c r="M14" s="148"/>
      <c r="N14" s="148"/>
      <c r="O14" s="185"/>
      <c r="P14" s="63" t="b">
        <v>0</v>
      </c>
    </row>
    <row r="15" spans="1:16" ht="19.5" customHeight="1" x14ac:dyDescent="0.25">
      <c r="B15" s="8"/>
      <c r="C15" s="8"/>
      <c r="D15" s="8"/>
      <c r="E15" s="8"/>
      <c r="F15" s="8"/>
      <c r="G15" s="8"/>
      <c r="H15" s="8"/>
      <c r="J15" s="11"/>
      <c r="L15" s="186"/>
      <c r="M15" s="187"/>
      <c r="N15" s="187"/>
      <c r="O15" s="188"/>
      <c r="P15" s="63" t="b">
        <v>0</v>
      </c>
    </row>
    <row r="16" spans="1:16" ht="15" customHeight="1" x14ac:dyDescent="0.25">
      <c r="L16" s="174" t="str">
        <f>IF(OR(P3,P4,P5,P6,P7,P8,P9,P10,P11,P12,P16,P13,P14,P15)=TRUE,"","Legalább alapfokú iskolai végzettség igazolása")</f>
        <v>Legalább alapfokú iskolai végzettség igazolása</v>
      </c>
      <c r="M16" s="174"/>
      <c r="N16" s="174"/>
      <c r="O16" s="174"/>
      <c r="P16" s="63" t="b">
        <v>0</v>
      </c>
    </row>
    <row r="17" spans="2:16" x14ac:dyDescent="0.25">
      <c r="B17" s="157" t="s">
        <v>13</v>
      </c>
      <c r="C17" s="157"/>
      <c r="D17" s="157"/>
      <c r="E17" s="157"/>
      <c r="F17" s="157"/>
      <c r="G17" s="157"/>
      <c r="H17" s="157"/>
      <c r="J17" s="1" t="s">
        <v>89</v>
      </c>
      <c r="L17" s="174"/>
      <c r="M17" s="174"/>
      <c r="N17" s="174"/>
      <c r="O17" s="174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99600</v>
      </c>
      <c r="K18"/>
      <c r="L18" s="158" t="str">
        <f>IF(P11=TRUE,"Hajózási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8"/>
      <c r="N18" s="158"/>
      <c r="O18" s="158"/>
    </row>
    <row r="19" spans="2:16" s="2" customFormat="1" ht="27" customHeight="1" x14ac:dyDescent="0.25">
      <c r="B19" s="87" t="str">
        <f>IF(B20=0,"Felmentés",IF(OR($P$15,$P$11)=TRUE,"Felmentés/vizsga","Vizsga"))</f>
        <v>Vizsga</v>
      </c>
      <c r="C19" s="87" t="str">
        <f t="shared" ref="C19:G19" si="1">IF(C20=0,"Felmentés",IF(OR($P$15,$P$11)=TRUE,"Felmentés/vizsga","Vizsga"))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 t="shared" ref="H19" si="2">IF(H20&lt;&gt;0,"Vizsga","Felmentés")</f>
        <v>Vizsga</v>
      </c>
      <c r="I19" s="99" t="s">
        <v>85</v>
      </c>
      <c r="L19" s="170" t="s">
        <v>237</v>
      </c>
      <c r="M19" s="170"/>
      <c r="N19" s="170"/>
      <c r="O19" s="170"/>
    </row>
    <row r="20" spans="2:16" s="1" customFormat="1" x14ac:dyDescent="0.25">
      <c r="B20" s="4">
        <f>IF(OR($P$4,$P$5,$P$8,$P$10,$P$13,P14)=TRUE,0,KEZDŐLAP!F25)</f>
        <v>10800</v>
      </c>
      <c r="C20" s="4">
        <f>IF(OR($P$4,$P$5,$P$8,$P$10,$P$13,P14)=TRUE,0,KEZDŐLAP!F25)</f>
        <v>10800</v>
      </c>
      <c r="D20" s="4">
        <f>IF(OR(P4,P6,P8,P12,P13,P14)=TRUE,0,KEZDŐLAP!F25)</f>
        <v>10800</v>
      </c>
      <c r="E20" s="4">
        <f>IF(OR(P4,P6,P16,P10,P12,P13,P14)=TRUE,0,KEZDŐLAP!F25)</f>
        <v>10800</v>
      </c>
      <c r="F20" s="4">
        <f>IF(OR(P4,P10,P13,P14)=TRUE,0,KEZDŐLAP!F25)</f>
        <v>10800</v>
      </c>
      <c r="G20" s="4">
        <f>IF(OR(P4,P9,P16,P8,P10,P12,P13,P5,P14)=TRUE,0,KEZDŐLAP!F25)</f>
        <v>10800</v>
      </c>
      <c r="H20" s="4">
        <f>IF(OR(P13,P14)=TRUE,0,KEZDŐLAP!F29)</f>
        <v>28300</v>
      </c>
      <c r="I20" s="41">
        <f>KEZDŐLAP!F30</f>
        <v>6500</v>
      </c>
      <c r="K20" s="2"/>
      <c r="L20" s="170"/>
      <c r="M20" s="170"/>
      <c r="N20" s="170"/>
      <c r="O20" s="170"/>
    </row>
    <row r="21" spans="2:16" x14ac:dyDescent="0.25">
      <c r="C21" s="38"/>
      <c r="G21" s="44" t="s">
        <v>86</v>
      </c>
      <c r="H21" s="33">
        <f>SUM(B20:H20)</f>
        <v>93100</v>
      </c>
      <c r="L21" s="170"/>
      <c r="M21" s="170"/>
      <c r="N21" s="170"/>
      <c r="O21" s="170"/>
    </row>
    <row r="22" spans="2:16" ht="15.75" x14ac:dyDescent="0.25">
      <c r="B22" s="16"/>
      <c r="L22" s="170"/>
      <c r="M22" s="170"/>
      <c r="N22" s="170"/>
      <c r="O22" s="170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A16:A20 H18:K20 H17:I17 K17:O17 C21 B1:G20" name="Tartomány1"/>
    <protectedRange password="EFFA" sqref="J17" name="Tartomány1_1"/>
    <protectedRange password="EFFA" sqref="M18:O20 L18 L20" name="Tartomány1_2"/>
  </protectedRanges>
  <mergeCells count="17"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  <mergeCell ref="L13:O15"/>
    <mergeCell ref="L16:O17"/>
    <mergeCell ref="B17:H17"/>
    <mergeCell ref="L18:O18"/>
    <mergeCell ref="L19:O22"/>
  </mergeCells>
  <conditionalFormatting sqref="B19:H19">
    <cfRule type="containsText" dxfId="79" priority="1" operator="containsText" text="Vizsga">
      <formula>NOT(ISERROR(SEARCH("Vizsga",B19)))</formula>
    </cfRule>
    <cfRule type="containsText" dxfId="78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5</xdr:col>
                    <xdr:colOff>1095375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6</xdr:col>
                    <xdr:colOff>790575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1095375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66675</xdr:rowOff>
                  </from>
                  <to>
                    <xdr:col>4</xdr:col>
                    <xdr:colOff>942975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219075</xdr:rowOff>
                  </from>
                  <to>
                    <xdr:col>5</xdr:col>
                    <xdr:colOff>1095375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4</xdr:col>
                    <xdr:colOff>828675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4</xdr:col>
                    <xdr:colOff>828675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161925</xdr:rowOff>
                  </from>
                  <to>
                    <xdr:col>4</xdr:col>
                    <xdr:colOff>828675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4</xdr:col>
                    <xdr:colOff>828675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209550</xdr:rowOff>
                  </from>
                  <to>
                    <xdr:col>5</xdr:col>
                    <xdr:colOff>1095375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28575</xdr:rowOff>
                  </from>
                  <to>
                    <xdr:col>6</xdr:col>
                    <xdr:colOff>514350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0</xdr:rowOff>
                  </from>
                  <to>
                    <xdr:col>6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0</xdr:rowOff>
                  </from>
                  <to>
                    <xdr:col>7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5.710937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.5703125" customWidth="1"/>
  </cols>
  <sheetData>
    <row r="1" spans="1:17" x14ac:dyDescent="0.25">
      <c r="A1" s="26" t="s">
        <v>43</v>
      </c>
      <c r="B1" s="146" t="s">
        <v>15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6</v>
      </c>
      <c r="N1" s="146"/>
      <c r="O1" s="146"/>
      <c r="P1" s="146"/>
    </row>
    <row r="2" spans="1:17" ht="16.5" customHeight="1" x14ac:dyDescent="0.25">
      <c r="B2" s="175" t="s">
        <v>61</v>
      </c>
      <c r="C2" s="175"/>
      <c r="D2" s="175"/>
      <c r="E2" s="175"/>
      <c r="F2" s="175"/>
      <c r="G2" s="175"/>
      <c r="H2" s="175"/>
      <c r="I2" s="8"/>
      <c r="K2" s="1"/>
      <c r="Q2" s="24"/>
    </row>
    <row r="3" spans="1:17" ht="18.75" customHeight="1" x14ac:dyDescent="0.25">
      <c r="B3" s="8"/>
      <c r="C3" s="8"/>
      <c r="D3" s="8"/>
      <c r="E3" s="8"/>
      <c r="F3" s="8"/>
      <c r="G3" s="8"/>
      <c r="H3" s="8"/>
      <c r="I3" s="8"/>
      <c r="K3" s="148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49" t="str">
        <f>IF(I22&gt;0,"Írásos vizsgajelentkezési/felmentési kérelem","Okmánykiállítási kérelem benyújtása")</f>
        <v>Írásos vizsgajelentkezési/felmentési kérelem</v>
      </c>
      <c r="N3" s="149"/>
      <c r="O3" s="149"/>
      <c r="P3" s="149"/>
      <c r="Q3" s="63" t="b">
        <v>0</v>
      </c>
    </row>
    <row r="4" spans="1:17" ht="18.75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50" t="s">
        <v>7</v>
      </c>
      <c r="N4" s="150"/>
      <c r="O4" s="150"/>
      <c r="P4" s="150"/>
      <c r="Q4" s="63" t="b">
        <v>0</v>
      </c>
    </row>
    <row r="5" spans="1:17" ht="18.75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49" t="s">
        <v>8</v>
      </c>
      <c r="N5" s="149"/>
      <c r="O5" s="149"/>
      <c r="P5" s="149"/>
      <c r="Q5" s="63" t="b">
        <v>0</v>
      </c>
    </row>
    <row r="6" spans="1:17" ht="18.75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49"/>
      <c r="N6" s="149"/>
      <c r="O6" s="149"/>
      <c r="P6" s="149"/>
      <c r="Q6" s="63" t="b">
        <v>0</v>
      </c>
    </row>
    <row r="7" spans="1:17" ht="18.75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54" t="s">
        <v>33</v>
      </c>
      <c r="N7" s="155"/>
      <c r="O7" s="155"/>
      <c r="P7" s="156"/>
      <c r="Q7" s="63" t="b">
        <v>0</v>
      </c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54"/>
      <c r="N8" s="155"/>
      <c r="O8" s="155"/>
      <c r="P8" s="156"/>
      <c r="Q8" s="63" t="b">
        <v>0</v>
      </c>
    </row>
    <row r="9" spans="1:17" ht="18.75" customHeight="1" x14ac:dyDescent="0.25">
      <c r="B9" s="8"/>
      <c r="C9" s="8"/>
      <c r="D9" s="8"/>
      <c r="E9" s="8"/>
      <c r="F9" s="8"/>
      <c r="G9" s="8"/>
      <c r="H9" s="8"/>
      <c r="I9" s="8"/>
      <c r="K9" s="148"/>
      <c r="M9" s="174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74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74" t="str">
        <f t="shared" si="0"/>
        <v>A vizsgatárgyakat tartalmazó képzésen való részvétel igazolása</v>
      </c>
      <c r="P9" s="174" t="str">
        <f t="shared" si="0"/>
        <v>A vizsgatárgyakat tartalmazó képzésen való részvétel igazolása</v>
      </c>
      <c r="Q9" s="63" t="b">
        <v>0</v>
      </c>
    </row>
    <row r="10" spans="1:17" ht="18.75" customHeight="1" x14ac:dyDescent="0.25">
      <c r="B10" s="8"/>
      <c r="C10" s="8"/>
      <c r="D10" s="8"/>
      <c r="E10" s="8"/>
      <c r="F10" s="8"/>
      <c r="G10" s="8"/>
      <c r="H10" s="8"/>
      <c r="I10" s="8"/>
      <c r="K10" s="148"/>
      <c r="M10" s="174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74" t="str">
        <f t="shared" si="0"/>
        <v>A vizsgatárgyakat tartalmazó képzésen való részvétel igazolása</v>
      </c>
      <c r="O10" s="174" t="str">
        <f t="shared" si="0"/>
        <v>A vizsgatárgyakat tartalmazó képzésen való részvétel igazolása</v>
      </c>
      <c r="P10" s="174" t="str">
        <f t="shared" si="0"/>
        <v>A vizsgatárgyakat tartalmazó képzésen való részvétel igazolása</v>
      </c>
      <c r="Q10" s="63" t="b">
        <v>0</v>
      </c>
    </row>
    <row r="11" spans="1:17" ht="18.75" customHeight="1" x14ac:dyDescent="0.25">
      <c r="B11" s="8"/>
      <c r="C11" s="8"/>
      <c r="D11" s="8"/>
      <c r="E11" s="8"/>
      <c r="F11" s="8"/>
      <c r="G11" s="8"/>
      <c r="H11" s="8"/>
      <c r="I11" s="8"/>
      <c r="J11" s="9"/>
      <c r="K11" s="148"/>
      <c r="M11" s="150" t="s">
        <v>108</v>
      </c>
      <c r="N11" s="150"/>
      <c r="O11" s="150"/>
      <c r="P11" s="150"/>
      <c r="Q11" s="63" t="b">
        <v>0</v>
      </c>
    </row>
    <row r="12" spans="1:17" ht="18.75" customHeight="1" x14ac:dyDescent="0.25">
      <c r="B12" s="8"/>
      <c r="C12" s="8"/>
      <c r="D12" s="8"/>
      <c r="E12" s="8"/>
      <c r="F12" s="8"/>
      <c r="G12" s="8"/>
      <c r="H12" s="8"/>
      <c r="I12" s="8"/>
      <c r="K12" s="148"/>
      <c r="M12" s="181" t="str">
        <f>IF(OR(Q16,Q12)=TRUE,"Felmentési kérelemhez: képesítő okmány, vizsgajegyzőkönyv, leckekönyv vagy tanterv","")</f>
        <v/>
      </c>
      <c r="N12" s="182"/>
      <c r="O12" s="182"/>
      <c r="P12" s="183"/>
      <c r="Q12" s="63" t="b">
        <v>0</v>
      </c>
    </row>
    <row r="13" spans="1:17" ht="37.5" customHeight="1" x14ac:dyDescent="0.25">
      <c r="B13" s="8"/>
      <c r="C13" s="8"/>
      <c r="D13" s="8"/>
      <c r="E13" s="8"/>
      <c r="F13" s="8"/>
      <c r="G13" s="8"/>
      <c r="H13" s="8"/>
      <c r="I13" s="8"/>
      <c r="K13" s="148"/>
      <c r="M13" s="186"/>
      <c r="N13" s="187"/>
      <c r="O13" s="187"/>
      <c r="P13" s="188"/>
      <c r="Q13" s="63" t="b">
        <v>0</v>
      </c>
    </row>
    <row r="14" spans="1:17" ht="18.75" customHeight="1" x14ac:dyDescent="0.25">
      <c r="B14" s="8"/>
      <c r="C14" s="8"/>
      <c r="D14" s="8"/>
      <c r="E14" s="8"/>
      <c r="F14" s="8"/>
      <c r="G14" s="8"/>
      <c r="H14" s="8"/>
      <c r="I14" s="8"/>
      <c r="K14" s="11"/>
      <c r="M14" s="174" t="str">
        <f>IF(OR(Q3:Q15,Q16)=TRUE,"","Legalább alapfokú iskolai végzettség igazolása")</f>
        <v>Legalább alapfokú iskolai végzettség igazolása</v>
      </c>
      <c r="N14" s="174"/>
      <c r="O14" s="174"/>
      <c r="P14" s="174"/>
      <c r="Q14" s="63" t="b">
        <v>0</v>
      </c>
    </row>
    <row r="15" spans="1:17" ht="18.75" customHeight="1" x14ac:dyDescent="0.25">
      <c r="B15" s="8"/>
      <c r="C15" s="8"/>
      <c r="D15" s="8"/>
      <c r="E15" s="8"/>
      <c r="F15" s="8"/>
      <c r="G15" s="8"/>
      <c r="H15" s="8"/>
      <c r="I15" s="8"/>
      <c r="K15" s="11"/>
      <c r="M15" s="174"/>
      <c r="N15" s="174"/>
      <c r="O15" s="174"/>
      <c r="P15" s="174"/>
      <c r="Q15" s="63" t="b">
        <v>0</v>
      </c>
    </row>
    <row r="16" spans="1:17" ht="18.75" customHeight="1" x14ac:dyDescent="0.25">
      <c r="B16" s="8"/>
      <c r="C16" s="8"/>
      <c r="D16" s="8"/>
      <c r="E16" s="8"/>
      <c r="F16" s="8"/>
      <c r="G16" s="8"/>
      <c r="H16" s="8"/>
      <c r="I16" s="8"/>
      <c r="K16" s="11"/>
      <c r="M16" s="174"/>
      <c r="N16" s="174"/>
      <c r="O16" s="174"/>
      <c r="P16" s="174"/>
      <c r="Q16" s="63" t="b">
        <v>0</v>
      </c>
    </row>
    <row r="17" spans="2:17" ht="15" customHeight="1" x14ac:dyDescent="0.25">
      <c r="M17" s="174"/>
      <c r="N17" s="174"/>
      <c r="O17" s="174"/>
      <c r="P17" s="174"/>
      <c r="Q17" s="61"/>
    </row>
    <row r="18" spans="2:17" x14ac:dyDescent="0.25">
      <c r="B18" s="157" t="s">
        <v>13</v>
      </c>
      <c r="C18" s="157"/>
      <c r="D18" s="157"/>
      <c r="E18" s="157"/>
      <c r="F18" s="157"/>
      <c r="G18" s="157"/>
      <c r="H18" s="157"/>
      <c r="I18" s="157"/>
      <c r="K18" s="1" t="s">
        <v>89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87</v>
      </c>
      <c r="G19" s="3" t="s">
        <v>3</v>
      </c>
      <c r="H19" s="3" t="s">
        <v>14</v>
      </c>
      <c r="I19" s="3" t="s">
        <v>5</v>
      </c>
      <c r="J19" s="3" t="s">
        <v>84</v>
      </c>
      <c r="K19" s="10">
        <f>SUM(B21:J21)</f>
        <v>110400</v>
      </c>
      <c r="L19"/>
      <c r="M19" s="170" t="str">
        <f>IF(Q12=TRUE,"Hajózási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9" s="170"/>
      <c r="O19" s="170"/>
      <c r="P19" s="170"/>
    </row>
    <row r="20" spans="2:17" s="2" customFormat="1" ht="15.75" customHeight="1" x14ac:dyDescent="0.25">
      <c r="B20" s="101" t="str">
        <f>IF(B21=0,"Felmentés",IF(OR($Q$16,$Q$12)=TRUE,"Felmentés/vizsga","Vizsga"))</f>
        <v>Vizsga</v>
      </c>
      <c r="C20" s="101" t="str">
        <f t="shared" ref="C20:H20" si="1">IF(C21=0,"Felmentés",IF(OR($Q$16,$Q$12)=TRUE,"Felmentés/vizsga","Vizsga"))</f>
        <v>Vizsga</v>
      </c>
      <c r="D20" s="101" t="str">
        <f t="shared" si="1"/>
        <v>Vizsga</v>
      </c>
      <c r="E20" s="101" t="str">
        <f t="shared" si="1"/>
        <v>Vizsga</v>
      </c>
      <c r="F20" s="101" t="str">
        <f t="shared" si="1"/>
        <v>Vizsga</v>
      </c>
      <c r="G20" s="101" t="str">
        <f t="shared" si="1"/>
        <v>Vizsga</v>
      </c>
      <c r="H20" s="101" t="str">
        <f t="shared" si="1"/>
        <v>Vizsga</v>
      </c>
      <c r="I20" s="101" t="str">
        <f t="shared" ref="I20" si="2">IF(I21&lt;&gt;0,"Vizsga","Felmentés")</f>
        <v>Vizsga</v>
      </c>
      <c r="J20" s="42" t="s">
        <v>85</v>
      </c>
      <c r="M20" s="190" t="s">
        <v>39</v>
      </c>
      <c r="N20" s="190"/>
      <c r="O20" s="190"/>
      <c r="P20" s="190"/>
    </row>
    <row r="21" spans="2:17" s="1" customFormat="1" x14ac:dyDescent="0.25">
      <c r="B21" s="4">
        <f>IF(OR($Q$3,Q9,Q4,Q8,Q11,Q15)=TRUE,0,KEZDŐLAP!F25)</f>
        <v>10800</v>
      </c>
      <c r="C21" s="4">
        <f>IF(OR($Q$3,Q9,Q4,Q8,Q11,Q15)=TRUE,0,KEZDŐLAP!F25)</f>
        <v>10800</v>
      </c>
      <c r="D21" s="4">
        <f>IF(OR($Q$3,Q9,Q5,Q7,Q8,Q14,Q15)=TRUE,0,KEZDŐLAP!F25)</f>
        <v>10800</v>
      </c>
      <c r="E21" s="4">
        <f>IF(OR($Q$3,Q7,Q5,Q9,Q13,Q11,Q14,Q15)=TRUE,0,KEZDŐLAP!F25)</f>
        <v>10800</v>
      </c>
      <c r="F21" s="4">
        <f>IF(OR($Q$3,Q9,Q11,Q15)=TRUE,0,KEZDŐLAP!F25)</f>
        <v>10800</v>
      </c>
      <c r="G21" s="4">
        <f>IF(OR($Q$3,Q9,Q13,Q8,Q10,Q11,Q14,Q4,Q15)=TRUE,0,KEZDŐLAP!F25)</f>
        <v>10800</v>
      </c>
      <c r="H21" s="4">
        <f>IF(OR($Q$7,Q15)=TRUE,0,KEZDŐLAP!F25)</f>
        <v>10800</v>
      </c>
      <c r="I21" s="4">
        <f>IF(Q15=TRUE,0,KEZDŐLAP!F29)</f>
        <v>28300</v>
      </c>
      <c r="J21" s="41">
        <f>KEZDŐLAP!F30</f>
        <v>6500</v>
      </c>
      <c r="L21" s="2"/>
      <c r="M21" s="190"/>
      <c r="N21" s="190"/>
      <c r="O21" s="190"/>
      <c r="P21" s="190"/>
    </row>
    <row r="22" spans="2:17" x14ac:dyDescent="0.25">
      <c r="G22" s="44" t="s">
        <v>86</v>
      </c>
      <c r="H22" s="44"/>
      <c r="I22" s="4">
        <f>SUM(B21:I21)</f>
        <v>103900</v>
      </c>
      <c r="M22" s="190"/>
      <c r="N22" s="190"/>
      <c r="O22" s="190"/>
      <c r="P22" s="190"/>
    </row>
    <row r="23" spans="2:17" x14ac:dyDescent="0.25">
      <c r="M23" s="190"/>
      <c r="N23" s="190"/>
      <c r="O23" s="190"/>
      <c r="P23" s="190"/>
    </row>
    <row r="24" spans="2:17" x14ac:dyDescent="0.25">
      <c r="M24" s="190"/>
      <c r="N24" s="190"/>
      <c r="O24" s="190"/>
      <c r="P24" s="190"/>
    </row>
    <row r="25" spans="2:17" x14ac:dyDescent="0.25">
      <c r="M25" s="17"/>
      <c r="N25" s="17"/>
      <c r="O25" s="17"/>
      <c r="P25" s="17"/>
    </row>
    <row r="26" spans="2:17" x14ac:dyDescent="0.25">
      <c r="M26" s="17"/>
      <c r="N26" s="17"/>
      <c r="O26" s="17"/>
      <c r="P26" s="17"/>
    </row>
    <row r="27" spans="2:17" x14ac:dyDescent="0.25">
      <c r="M27" s="17"/>
      <c r="N27" s="17"/>
      <c r="O27" s="17"/>
      <c r="P27" s="17"/>
    </row>
  </sheetData>
  <sheetProtection sheet="1" selectLockedCells="1"/>
  <protectedRanges>
    <protectedRange password="EFFA" sqref="Q3:Q16 I2:Q2 A17:A18 B3:G18 B1:P1 K19:L21 H18:J18 L18:P18 H3:L17 N3:P17 M3:M12 M14:M17 A19:I21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N19:P21 M19 M21" name="Tartomány1_2_1"/>
  </protectedRanges>
  <mergeCells count="16">
    <mergeCell ref="M19:P19"/>
    <mergeCell ref="M20:P24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7:P7"/>
    <mergeCell ref="M8:P8"/>
    <mergeCell ref="B2:H2"/>
    <mergeCell ref="M12:P13"/>
  </mergeCells>
  <conditionalFormatting sqref="B20:I20">
    <cfRule type="containsText" dxfId="77" priority="1" operator="containsText" text="Vizsga">
      <formula>NOT(ISERROR(SEARCH("Vizsga",B20)))</formula>
    </cfRule>
    <cfRule type="containsText" dxfId="76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6</xdr:col>
                    <xdr:colOff>428625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9525</xdr:rowOff>
                  </from>
                  <to>
                    <xdr:col>5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228600</xdr:rowOff>
                  </from>
                  <to>
                    <xdr:col>7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238125</xdr:rowOff>
                  </from>
                  <to>
                    <xdr:col>6</xdr:col>
                    <xdr:colOff>428625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219075</xdr:rowOff>
                  </from>
                  <to>
                    <xdr:col>6</xdr:col>
                    <xdr:colOff>428625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190500</xdr:rowOff>
                  </from>
                  <to>
                    <xdr:col>6</xdr:col>
                    <xdr:colOff>428625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</xdr:rowOff>
                  </from>
                  <to>
                    <xdr:col>5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0</xdr:rowOff>
                  </from>
                  <to>
                    <xdr:col>5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238125</xdr:rowOff>
                  </from>
                  <to>
                    <xdr:col>5</xdr:col>
                    <xdr:colOff>66675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66675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352425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57150</xdr:rowOff>
                  </from>
                  <to>
                    <xdr:col>8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7" width="16.5703125" customWidth="1"/>
    <col min="8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42578125" customWidth="1"/>
  </cols>
  <sheetData>
    <row r="1" spans="1:17" x14ac:dyDescent="0.25">
      <c r="A1" s="26" t="s">
        <v>43</v>
      </c>
      <c r="B1" s="146" t="s">
        <v>17</v>
      </c>
      <c r="C1" s="146"/>
      <c r="D1" s="146"/>
      <c r="E1" s="146"/>
      <c r="F1" s="146"/>
      <c r="G1" s="146"/>
      <c r="H1" s="146"/>
      <c r="I1" s="146"/>
      <c r="K1" s="5" t="s">
        <v>1</v>
      </c>
      <c r="M1" s="146" t="s">
        <v>6</v>
      </c>
      <c r="N1" s="146"/>
      <c r="O1" s="146"/>
      <c r="P1" s="146"/>
    </row>
    <row r="2" spans="1:17" ht="15.75" customHeight="1" x14ac:dyDescent="0.25">
      <c r="B2" s="175" t="s">
        <v>61</v>
      </c>
      <c r="C2" s="175"/>
      <c r="D2" s="175"/>
      <c r="E2" s="175"/>
      <c r="F2" s="175"/>
      <c r="G2" s="175"/>
      <c r="H2" s="175"/>
      <c r="I2" s="175"/>
      <c r="K2" s="1"/>
    </row>
    <row r="3" spans="1:17" ht="21" customHeight="1" x14ac:dyDescent="0.25">
      <c r="B3" s="8"/>
      <c r="C3" s="8"/>
      <c r="D3" s="8"/>
      <c r="E3" s="8"/>
      <c r="F3" s="8"/>
      <c r="G3" s="8"/>
      <c r="H3" s="8"/>
      <c r="I3" s="8"/>
      <c r="K3" s="148" t="s">
        <v>18</v>
      </c>
      <c r="M3" s="149" t="str">
        <f>IF(G17&gt;0=TRUE,"Írásos vizsgajelentkezési/felmentési kérelem","Okmányigénylés")</f>
        <v>Írásos vizsgajelentkezési/felmentési kérelem</v>
      </c>
      <c r="N3" s="149"/>
      <c r="O3" s="149"/>
      <c r="P3" s="149"/>
      <c r="Q3" s="64" t="b">
        <v>0</v>
      </c>
    </row>
    <row r="4" spans="1:17" ht="21" customHeight="1" x14ac:dyDescent="0.25">
      <c r="B4" s="8"/>
      <c r="C4" s="8"/>
      <c r="D4" s="8"/>
      <c r="E4" s="8"/>
      <c r="F4" s="8"/>
      <c r="G4" s="8"/>
      <c r="H4" s="8"/>
      <c r="I4" s="8"/>
      <c r="K4" s="148"/>
      <c r="M4" s="150" t="s">
        <v>7</v>
      </c>
      <c r="N4" s="150"/>
      <c r="O4" s="150"/>
      <c r="P4" s="150"/>
      <c r="Q4" s="64" t="b">
        <v>0</v>
      </c>
    </row>
    <row r="5" spans="1:17" ht="21" customHeight="1" x14ac:dyDescent="0.25">
      <c r="B5" s="8"/>
      <c r="C5" s="8"/>
      <c r="D5" s="8"/>
      <c r="E5" s="8"/>
      <c r="F5" s="8"/>
      <c r="G5" s="8"/>
      <c r="H5" s="8"/>
      <c r="I5" s="8"/>
      <c r="K5" s="148"/>
      <c r="M5" s="149" t="s">
        <v>8</v>
      </c>
      <c r="N5" s="149"/>
      <c r="O5" s="149"/>
      <c r="P5" s="149"/>
      <c r="Q5" s="64" t="b">
        <v>0</v>
      </c>
    </row>
    <row r="6" spans="1:17" ht="21" customHeight="1" x14ac:dyDescent="0.25">
      <c r="B6" s="8"/>
      <c r="C6" s="8"/>
      <c r="D6" s="8"/>
      <c r="E6" s="8"/>
      <c r="F6" s="8"/>
      <c r="G6" s="8"/>
      <c r="H6" s="8"/>
      <c r="I6" s="8"/>
      <c r="K6" s="148"/>
      <c r="M6" s="149"/>
      <c r="N6" s="149"/>
      <c r="O6" s="149"/>
      <c r="P6" s="149"/>
      <c r="Q6" s="64" t="b">
        <v>0</v>
      </c>
    </row>
    <row r="7" spans="1:17" ht="21" customHeight="1" x14ac:dyDescent="0.25">
      <c r="B7" s="8"/>
      <c r="C7" s="8"/>
      <c r="D7" s="8"/>
      <c r="E7" s="8"/>
      <c r="F7" s="8"/>
      <c r="G7" s="8"/>
      <c r="H7" s="8"/>
      <c r="I7" s="8"/>
      <c r="K7" s="148"/>
      <c r="M7" s="174" t="str">
        <f>IF(Q10=TRUE,"","Jóváhagyott úszómunkagép-vezetői képzés igazolt elvégzése")</f>
        <v>Jóváhagyott úszómunkagép-vezetői képzés igazolt elvégzése</v>
      </c>
      <c r="N7" s="174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74" t="str">
        <f t="shared" si="0"/>
        <v>A vizsgatárgyakat tartalmazó képzésen való részvétel igazolása</v>
      </c>
      <c r="P7" s="174" t="str">
        <f t="shared" si="0"/>
        <v>A vizsgatárgyakat tartalmazó képzésen való részvétel igazolása</v>
      </c>
      <c r="Q7" s="64" t="b">
        <v>0</v>
      </c>
    </row>
    <row r="8" spans="1:17" ht="21" customHeight="1" x14ac:dyDescent="0.25">
      <c r="B8" s="8"/>
      <c r="C8" s="8"/>
      <c r="D8" s="8"/>
      <c r="E8" s="8"/>
      <c r="F8" s="8"/>
      <c r="G8" s="8"/>
      <c r="H8" s="8"/>
      <c r="I8" s="8"/>
      <c r="K8" s="148"/>
      <c r="M8" s="174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74" t="str">
        <f t="shared" si="0"/>
        <v>A vizsgatárgyakat tartalmazó képzésen való részvétel igazolása</v>
      </c>
      <c r="O8" s="174" t="str">
        <f t="shared" si="0"/>
        <v>A vizsgatárgyakat tartalmazó képzésen való részvétel igazolása</v>
      </c>
      <c r="P8" s="174" t="str">
        <f t="shared" si="0"/>
        <v>A vizsgatárgyakat tartalmazó képzésen való részvétel igazolása</v>
      </c>
      <c r="Q8" s="64" t="b">
        <v>0</v>
      </c>
    </row>
    <row r="9" spans="1:17" ht="21" customHeight="1" x14ac:dyDescent="0.25">
      <c r="B9" s="8"/>
      <c r="C9" s="8"/>
      <c r="D9" s="8"/>
      <c r="E9" s="8"/>
      <c r="F9" s="8"/>
      <c r="G9" s="8"/>
      <c r="H9" s="8"/>
      <c r="I9" s="8"/>
      <c r="J9" s="9"/>
      <c r="K9" s="148"/>
      <c r="M9" s="150" t="s">
        <v>110</v>
      </c>
      <c r="N9" s="150"/>
      <c r="O9" s="150"/>
      <c r="P9" s="150"/>
      <c r="Q9" s="64" t="b">
        <v>0</v>
      </c>
    </row>
    <row r="10" spans="1:17" ht="30" customHeight="1" x14ac:dyDescent="0.25">
      <c r="B10" s="8"/>
      <c r="C10" s="8"/>
      <c r="D10" s="8"/>
      <c r="E10" s="8"/>
      <c r="F10" s="8"/>
      <c r="G10" s="8"/>
      <c r="H10" s="8"/>
      <c r="I10" s="8"/>
      <c r="K10" s="148"/>
      <c r="M10" s="149" t="str">
        <f>IF(OR(Q3,Q10)=TRUE,"Felmentési kérelemhez: képesítő okmány, vizsgajegyzőkönyv, leckekönyv vagy tanterv","")</f>
        <v/>
      </c>
      <c r="N10" s="149"/>
      <c r="O10" s="149"/>
      <c r="P10" s="149"/>
      <c r="Q10" s="64" t="b">
        <v>0</v>
      </c>
    </row>
    <row r="11" spans="1:17" ht="21" customHeight="1" x14ac:dyDescent="0.25">
      <c r="B11" s="8"/>
      <c r="C11" s="8"/>
      <c r="D11" s="8"/>
      <c r="E11" s="8"/>
      <c r="F11" s="8"/>
      <c r="G11" s="8"/>
      <c r="H11" s="8"/>
      <c r="I11" s="8"/>
      <c r="K11" s="148"/>
      <c r="M11" s="150" t="s">
        <v>33</v>
      </c>
      <c r="N11" s="150"/>
      <c r="O11" s="150"/>
      <c r="P11" s="150"/>
      <c r="Q11" s="64"/>
    </row>
    <row r="12" spans="1:17" ht="21" customHeight="1" x14ac:dyDescent="0.25">
      <c r="M12" s="181" t="str">
        <f>IF(Q10=TRUE,"Hajózási szakképzésben szerzett képesítő bizonyítvány bemutatása",IF(OR(Q3:Q10)=TRUE,"","Legalább alapfokú iskolai végzettség igazolása"))</f>
        <v>Legalább alapfokú iskolai végzettség igazolása</v>
      </c>
      <c r="N12" s="182"/>
      <c r="O12" s="182"/>
      <c r="P12" s="183"/>
      <c r="Q12" s="64" t="b">
        <v>0</v>
      </c>
    </row>
    <row r="13" spans="1:17" x14ac:dyDescent="0.25">
      <c r="B13" s="157" t="s">
        <v>13</v>
      </c>
      <c r="C13" s="157"/>
      <c r="D13" s="157"/>
      <c r="E13" s="157"/>
      <c r="F13" s="157"/>
      <c r="G13" s="157"/>
      <c r="K13" s="1" t="s">
        <v>89</v>
      </c>
      <c r="M13" s="186"/>
      <c r="N13" s="187"/>
      <c r="O13" s="187"/>
      <c r="P13" s="188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84</v>
      </c>
      <c r="K14" s="10">
        <f>SUM(B16:H16)</f>
        <v>84500</v>
      </c>
      <c r="L14"/>
      <c r="M14" s="158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4" s="158"/>
      <c r="O14" s="158"/>
      <c r="P14" s="158"/>
    </row>
    <row r="15" spans="1:17" s="2" customFormat="1" ht="15.75" customHeight="1" x14ac:dyDescent="0.25">
      <c r="B15" s="101" t="str">
        <f>IF(B16=0,"Felmentés",IF(OR($Q$3,$Q$10)=TRUE,"Felmentés/vizsga","Vizsga"))</f>
        <v>Vizsga</v>
      </c>
      <c r="C15" s="101" t="str">
        <f t="shared" ref="C15:G15" si="1">IF(C16=0,"Felmentés",IF(OR($Q$3,$Q$10)=TRUE,"Felmentés/vizsga","Vizsga"))</f>
        <v>Vizsga</v>
      </c>
      <c r="D15" s="101" t="str">
        <f t="shared" si="1"/>
        <v>Vizsga</v>
      </c>
      <c r="E15" s="101" t="str">
        <f t="shared" si="1"/>
        <v>Vizsga</v>
      </c>
      <c r="F15" s="101" t="str">
        <f t="shared" si="1"/>
        <v>Vizsga</v>
      </c>
      <c r="G15" s="101" t="str">
        <f t="shared" si="1"/>
        <v>Vizsga</v>
      </c>
      <c r="H15" s="42" t="s">
        <v>85</v>
      </c>
      <c r="M15" s="170" t="s">
        <v>39</v>
      </c>
      <c r="N15" s="170"/>
      <c r="O15" s="170"/>
      <c r="P15" s="170"/>
    </row>
    <row r="16" spans="1:17" s="1" customFormat="1" x14ac:dyDescent="0.25">
      <c r="B16" s="4">
        <f>IF($Q$4=TRUE,0,IF(Q5=TRUE,0,IF(Q7=TRUE,0,IF(Q9=TRUE,0,KEZDŐLAP!F25))))</f>
        <v>10800</v>
      </c>
      <c r="C16" s="4">
        <f>IF($Q$4=TRUE,0,IF($Q$5=TRUE,0,IF(Q7=TRUE,0,IF(Q9=TRUE,0,KEZDŐLAP!F26))))</f>
        <v>17400</v>
      </c>
      <c r="D16" s="4">
        <f>IF($Q$4=TRUE,0,IF($Q$6=TRUE,0,IF(Q7=TRUE,0,KEZDŐLAP!F25)))</f>
        <v>10800</v>
      </c>
      <c r="E16" s="4">
        <f>IF($Q$4=TRUE,0,IF($Q$6=TRUE,0,IF($Q$12=TRUE,0,IF(Q9=TRUE,0,KEZDŐLAP!F25))))</f>
        <v>10800</v>
      </c>
      <c r="F16" s="4">
        <f>IF(OR($Q$4,Q8,Q12,Q7,Q9,Q5)=TRUE,0,KEZDŐLAP!F25)</f>
        <v>10800</v>
      </c>
      <c r="G16" s="4">
        <f>IF($Q$4=TRUE,0,IF(Q7=TRUE,0,IF(Q9=TRUE,0,KEZDŐLAP!F26)))</f>
        <v>17400</v>
      </c>
      <c r="H16" s="41">
        <f>KEZDŐLAP!F30</f>
        <v>6500</v>
      </c>
      <c r="J16" s="2"/>
      <c r="K16" s="2"/>
      <c r="L16" s="2"/>
      <c r="M16" s="170"/>
      <c r="N16" s="170"/>
      <c r="O16" s="170"/>
      <c r="P16" s="170"/>
    </row>
    <row r="17" spans="2:16" x14ac:dyDescent="0.25">
      <c r="E17" s="191" t="s">
        <v>86</v>
      </c>
      <c r="F17" s="192"/>
      <c r="G17" s="33">
        <f>SUM(B16:G16)</f>
        <v>78000</v>
      </c>
      <c r="M17" s="170"/>
      <c r="N17" s="170"/>
      <c r="O17" s="170"/>
      <c r="P17" s="170"/>
    </row>
    <row r="18" spans="2:16" x14ac:dyDescent="0.25">
      <c r="M18" s="170"/>
      <c r="N18" s="170"/>
      <c r="O18" s="170"/>
      <c r="P18" s="170"/>
    </row>
    <row r="19" spans="2:16" x14ac:dyDescent="0.25">
      <c r="B19" s="190" t="s">
        <v>238</v>
      </c>
      <c r="C19" s="190"/>
      <c r="D19" s="190"/>
      <c r="E19" s="190"/>
      <c r="F19" s="190"/>
      <c r="G19" s="190"/>
      <c r="H19" s="190"/>
      <c r="I19" s="190"/>
      <c r="M19" s="170"/>
      <c r="N19" s="170"/>
      <c r="O19" s="170"/>
      <c r="P19" s="170"/>
    </row>
    <row r="20" spans="2:16" x14ac:dyDescent="0.25">
      <c r="B20" s="190"/>
      <c r="C20" s="190"/>
      <c r="D20" s="190"/>
      <c r="E20" s="190"/>
      <c r="F20" s="190"/>
      <c r="G20" s="190"/>
      <c r="H20" s="190"/>
      <c r="I20" s="190"/>
      <c r="M20" s="17"/>
      <c r="N20" s="17"/>
      <c r="O20" s="17"/>
      <c r="P20" s="17"/>
    </row>
    <row r="21" spans="2:16" x14ac:dyDescent="0.25">
      <c r="M21" s="17"/>
      <c r="N21" s="17"/>
      <c r="O21" s="17"/>
      <c r="P21" s="17"/>
    </row>
    <row r="22" spans="2:16" x14ac:dyDescent="0.25">
      <c r="M22" s="17"/>
      <c r="N22" s="17"/>
      <c r="O22" s="17"/>
      <c r="P22" s="17"/>
    </row>
  </sheetData>
  <sheetProtection sheet="1" selectLockedCells="1"/>
  <protectedRanges>
    <protectedRange password="EFFA" sqref="F14:G14 I15:L16 F12:P12 F11:L11 K14:L14 B1:P1 Q3:Q12 F3:P10 J2:P2 A12:A16 F13:J13 L13:P13 B3:E14 B15:G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N14:P16 M14 M16" name="Tartomány1_2_1"/>
  </protectedRanges>
  <mergeCells count="17">
    <mergeCell ref="M14:P14"/>
    <mergeCell ref="B19:I20"/>
    <mergeCell ref="M15:P19"/>
    <mergeCell ref="E17:F17"/>
    <mergeCell ref="B13:G13"/>
    <mergeCell ref="M12:P13"/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</mergeCells>
  <conditionalFormatting sqref="B15:G15">
    <cfRule type="containsText" dxfId="75" priority="1" operator="containsText" text="Vizsga">
      <formula>NOT(ISERROR(SEARCH("Vizsga",B15)))</formula>
    </cfRule>
    <cfRule type="containsText" dxfId="74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4</xdr:col>
                    <xdr:colOff>942975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4</xdr:col>
                    <xdr:colOff>1057275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85725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4</xdr:col>
                    <xdr:colOff>1057275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4</xdr:col>
                    <xdr:colOff>942975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4</xdr:col>
                    <xdr:colOff>942975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28575</xdr:rowOff>
                  </from>
                  <to>
                    <xdr:col>8</xdr:col>
                    <xdr:colOff>742950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33</vt:i4>
      </vt:variant>
    </vt:vector>
  </HeadingPairs>
  <TitlesOfParts>
    <vt:vector size="33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ADN</vt:lpstr>
      <vt:lpstr>Rádiókezelő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Hajóvezető (EU)</vt:lpstr>
      <vt:lpstr>VV Ausztria</vt:lpstr>
      <vt:lpstr>VV Magyarország</vt:lpstr>
      <vt:lpstr>VV Németország Duna</vt:lpstr>
      <vt:lpstr>VV Rajna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2021-10-20T11:02:52Z</cp:lastPrinted>
  <dcterms:created xsi:type="dcterms:W3CDTF">2018-06-05T10:17:27Z</dcterms:created>
  <dcterms:modified xsi:type="dcterms:W3CDTF">2025-02-04T15:47:41Z</dcterms:modified>
</cp:coreProperties>
</file>